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15600" windowHeight="10425" activeTab="3"/>
  </bookViews>
  <sheets>
    <sheet name="2017 год " sheetId="8" r:id="rId1"/>
    <sheet name="2018 год" sheetId="7" r:id="rId2"/>
    <sheet name="2019 год" sheetId="6" r:id="rId3"/>
    <sheet name="2020 год " sheetId="3" r:id="rId4"/>
  </sheets>
  <definedNames>
    <definedName name="_xlnm._FilterDatabase" localSheetId="1" hidden="1">'2018 год'!$17:$89</definedName>
    <definedName name="_xlnm._FilterDatabase" localSheetId="2" hidden="1">'2019 год'!$A$14:$AK$85</definedName>
    <definedName name="_xlnm._FilterDatabase" localSheetId="3" hidden="1">'2020 год '!$A$14:$AB$85</definedName>
    <definedName name="_xlnm.Print_Titles" localSheetId="3">'2020 год '!$14:$14</definedName>
    <definedName name="_xlnm.Print_Area" localSheetId="3">'2020 год '!$A$1:$AL$90</definedName>
  </definedNames>
  <calcPr calcId="145621"/>
</workbook>
</file>

<file path=xl/calcChain.xml><?xml version="1.0" encoding="utf-8"?>
<calcChain xmlns="http://schemas.openxmlformats.org/spreadsheetml/2006/main">
  <c r="XFD17" i="7" l="1"/>
  <c r="S85" i="6" l="1"/>
  <c r="T85" i="6" s="1"/>
  <c r="O85" i="6"/>
  <c r="P85" i="6" s="1"/>
  <c r="S84" i="6"/>
  <c r="T84" i="6" s="1"/>
  <c r="O84" i="6"/>
  <c r="P84" i="6" s="1"/>
  <c r="S83" i="6"/>
  <c r="T83" i="6" s="1"/>
  <c r="O83" i="6"/>
  <c r="P83" i="6" s="1"/>
  <c r="S82" i="6"/>
  <c r="T82" i="6" s="1"/>
  <c r="O82" i="6"/>
  <c r="P82" i="6" s="1"/>
  <c r="S81" i="6"/>
  <c r="T81" i="6" s="1"/>
  <c r="O81" i="6"/>
  <c r="P81" i="6" s="1"/>
  <c r="S80" i="6"/>
  <c r="T80" i="6" s="1"/>
  <c r="O80" i="6"/>
  <c r="P80" i="6" s="1"/>
  <c r="T79" i="6"/>
  <c r="S79" i="6"/>
  <c r="O79" i="6"/>
  <c r="P79" i="6" s="1"/>
  <c r="S78" i="6"/>
  <c r="T78" i="6" s="1"/>
  <c r="P78" i="6"/>
  <c r="Z78" i="6" s="1"/>
  <c r="AA78" i="6" s="1"/>
  <c r="O78" i="6"/>
  <c r="S77" i="6"/>
  <c r="T77" i="6" s="1"/>
  <c r="O77" i="6"/>
  <c r="P77" i="6" s="1"/>
  <c r="S76" i="6"/>
  <c r="T76" i="6" s="1"/>
  <c r="O76" i="6"/>
  <c r="P76" i="6" s="1"/>
  <c r="T75" i="6"/>
  <c r="S75" i="6"/>
  <c r="O75" i="6"/>
  <c r="P75" i="6" s="1"/>
  <c r="S74" i="6"/>
  <c r="T74" i="6" s="1"/>
  <c r="P74" i="6"/>
  <c r="O74" i="6"/>
  <c r="S73" i="6"/>
  <c r="T73" i="6" s="1"/>
  <c r="O73" i="6"/>
  <c r="P73" i="6" s="1"/>
  <c r="S72" i="6"/>
  <c r="T72" i="6" s="1"/>
  <c r="O72" i="6"/>
  <c r="P72" i="6" s="1"/>
  <c r="T71" i="6"/>
  <c r="S71" i="6"/>
  <c r="O71" i="6"/>
  <c r="P71" i="6" s="1"/>
  <c r="S70" i="6"/>
  <c r="T70" i="6" s="1"/>
  <c r="P70" i="6"/>
  <c r="Z70" i="6" s="1"/>
  <c r="AA70" i="6" s="1"/>
  <c r="O70" i="6"/>
  <c r="S69" i="6"/>
  <c r="T69" i="6" s="1"/>
  <c r="O69" i="6"/>
  <c r="P69" i="6" s="1"/>
  <c r="S68" i="6"/>
  <c r="T68" i="6" s="1"/>
  <c r="O68" i="6"/>
  <c r="P68" i="6" s="1"/>
  <c r="T67" i="6"/>
  <c r="S67" i="6"/>
  <c r="O67" i="6"/>
  <c r="P67" i="6" s="1"/>
  <c r="S66" i="6"/>
  <c r="T66" i="6" s="1"/>
  <c r="P66" i="6"/>
  <c r="O66" i="6"/>
  <c r="S65" i="6"/>
  <c r="T65" i="6" s="1"/>
  <c r="O65" i="6"/>
  <c r="P65" i="6" s="1"/>
  <c r="S64" i="6"/>
  <c r="T64" i="6" s="1"/>
  <c r="O64" i="6"/>
  <c r="P64" i="6" s="1"/>
  <c r="T63" i="6"/>
  <c r="S63" i="6"/>
  <c r="O63" i="6"/>
  <c r="P63" i="6" s="1"/>
  <c r="T62" i="6"/>
  <c r="O62" i="6"/>
  <c r="P62" i="6" s="1"/>
  <c r="Z62" i="6" s="1"/>
  <c r="AA62" i="6" s="1"/>
  <c r="S61" i="6"/>
  <c r="T61" i="6" s="1"/>
  <c r="O61" i="6"/>
  <c r="P61" i="6" s="1"/>
  <c r="S60" i="6"/>
  <c r="T60" i="6" s="1"/>
  <c r="O60" i="6"/>
  <c r="P60" i="6" s="1"/>
  <c r="S59" i="6"/>
  <c r="T59" i="6" s="1"/>
  <c r="O59" i="6"/>
  <c r="P59" i="6" s="1"/>
  <c r="S58" i="6"/>
  <c r="T58" i="6" s="1"/>
  <c r="O58" i="6"/>
  <c r="P58" i="6" s="1"/>
  <c r="Z58" i="6" s="1"/>
  <c r="AA58" i="6" s="1"/>
  <c r="S57" i="6"/>
  <c r="T57" i="6" s="1"/>
  <c r="O57" i="6"/>
  <c r="P57" i="6" s="1"/>
  <c r="S56" i="6"/>
  <c r="T56" i="6" s="1"/>
  <c r="O56" i="6"/>
  <c r="P56" i="6" s="1"/>
  <c r="S55" i="6"/>
  <c r="T55" i="6" s="1"/>
  <c r="O55" i="6"/>
  <c r="P55" i="6" s="1"/>
  <c r="T54" i="6"/>
  <c r="O54" i="6"/>
  <c r="P54" i="6" s="1"/>
  <c r="S53" i="6"/>
  <c r="T53" i="6" s="1"/>
  <c r="O53" i="6"/>
  <c r="P53" i="6" s="1"/>
  <c r="S52" i="6"/>
  <c r="T52" i="6" s="1"/>
  <c r="O52" i="6"/>
  <c r="P52" i="6" s="1"/>
  <c r="S51" i="6"/>
  <c r="T51" i="6" s="1"/>
  <c r="O51" i="6"/>
  <c r="P51" i="6" s="1"/>
  <c r="S50" i="6"/>
  <c r="T50" i="6" s="1"/>
  <c r="O50" i="6"/>
  <c r="P50" i="6" s="1"/>
  <c r="S49" i="6"/>
  <c r="T49" i="6" s="1"/>
  <c r="O49" i="6"/>
  <c r="P49" i="6" s="1"/>
  <c r="S48" i="6"/>
  <c r="T48" i="6" s="1"/>
  <c r="O48" i="6"/>
  <c r="P48" i="6" s="1"/>
  <c r="S47" i="6"/>
  <c r="T47" i="6" s="1"/>
  <c r="O47" i="6"/>
  <c r="P47" i="6" s="1"/>
  <c r="Z47" i="6" s="1"/>
  <c r="AA47" i="6" s="1"/>
  <c r="S46" i="6"/>
  <c r="T46" i="6" s="1"/>
  <c r="O46" i="6"/>
  <c r="P46" i="6" s="1"/>
  <c r="S45" i="6"/>
  <c r="T45" i="6" s="1"/>
  <c r="O45" i="6"/>
  <c r="P45" i="6" s="1"/>
  <c r="S44" i="6"/>
  <c r="T44" i="6" s="1"/>
  <c r="O44" i="6"/>
  <c r="P44" i="6" s="1"/>
  <c r="S43" i="6"/>
  <c r="T43" i="6" s="1"/>
  <c r="O43" i="6"/>
  <c r="P43" i="6" s="1"/>
  <c r="S42" i="6"/>
  <c r="T42" i="6" s="1"/>
  <c r="O42" i="6"/>
  <c r="P42" i="6" s="1"/>
  <c r="S41" i="6"/>
  <c r="T41" i="6" s="1"/>
  <c r="O41" i="6"/>
  <c r="P41" i="6" s="1"/>
  <c r="S40" i="6"/>
  <c r="T40" i="6" s="1"/>
  <c r="O40" i="6"/>
  <c r="P40" i="6" s="1"/>
  <c r="S39" i="6"/>
  <c r="T39" i="6" s="1"/>
  <c r="O39" i="6"/>
  <c r="P39" i="6" s="1"/>
  <c r="S38" i="6"/>
  <c r="T38" i="6" s="1"/>
  <c r="O38" i="6"/>
  <c r="P38" i="6" s="1"/>
  <c r="S37" i="6"/>
  <c r="T37" i="6" s="1"/>
  <c r="O37" i="6"/>
  <c r="P37" i="6" s="1"/>
  <c r="S36" i="6"/>
  <c r="T36" i="6" s="1"/>
  <c r="O36" i="6"/>
  <c r="P36" i="6" s="1"/>
  <c r="S35" i="6"/>
  <c r="T35" i="6" s="1"/>
  <c r="O35" i="6"/>
  <c r="P35" i="6" s="1"/>
  <c r="S34" i="6"/>
  <c r="T34" i="6" s="1"/>
  <c r="O34" i="6"/>
  <c r="P34" i="6" s="1"/>
  <c r="S33" i="6"/>
  <c r="T33" i="6" s="1"/>
  <c r="O33" i="6"/>
  <c r="P33" i="6" s="1"/>
  <c r="S32" i="6"/>
  <c r="T32" i="6" s="1"/>
  <c r="O32" i="6"/>
  <c r="P32" i="6" s="1"/>
  <c r="S31" i="6"/>
  <c r="T31" i="6" s="1"/>
  <c r="O31" i="6"/>
  <c r="P31" i="6" s="1"/>
  <c r="Z31" i="6" s="1"/>
  <c r="AA31" i="6" s="1"/>
  <c r="S30" i="6"/>
  <c r="T30" i="6" s="1"/>
  <c r="O30" i="6"/>
  <c r="P30" i="6" s="1"/>
  <c r="S29" i="6"/>
  <c r="T29" i="6" s="1"/>
  <c r="O29" i="6"/>
  <c r="P29" i="6" s="1"/>
  <c r="S28" i="6"/>
  <c r="T28" i="6" s="1"/>
  <c r="O28" i="6"/>
  <c r="P28" i="6" s="1"/>
  <c r="S27" i="6"/>
  <c r="T27" i="6" s="1"/>
  <c r="O27" i="6"/>
  <c r="P27" i="6" s="1"/>
  <c r="S26" i="6"/>
  <c r="T26" i="6" s="1"/>
  <c r="O26" i="6"/>
  <c r="P26" i="6" s="1"/>
  <c r="S25" i="6"/>
  <c r="T25" i="6" s="1"/>
  <c r="O25" i="6"/>
  <c r="P25" i="6" s="1"/>
  <c r="S24" i="6"/>
  <c r="T24" i="6" s="1"/>
  <c r="O24" i="6"/>
  <c r="P24" i="6" s="1"/>
  <c r="S23" i="6"/>
  <c r="T23" i="6" s="1"/>
  <c r="O23" i="6"/>
  <c r="P23" i="6" s="1"/>
  <c r="S22" i="6"/>
  <c r="T22" i="6" s="1"/>
  <c r="O22" i="6"/>
  <c r="P22" i="6" s="1"/>
  <c r="S21" i="6"/>
  <c r="T21" i="6" s="1"/>
  <c r="O21" i="6"/>
  <c r="P21" i="6" s="1"/>
  <c r="S20" i="6"/>
  <c r="T20" i="6" s="1"/>
  <c r="O20" i="6"/>
  <c r="P20" i="6" s="1"/>
  <c r="S19" i="6"/>
  <c r="T19" i="6" s="1"/>
  <c r="O19" i="6"/>
  <c r="P19" i="6" s="1"/>
  <c r="S18" i="6"/>
  <c r="T18" i="6" s="1"/>
  <c r="O18" i="6"/>
  <c r="P18" i="6" s="1"/>
  <c r="S17" i="6"/>
  <c r="T17" i="6" s="1"/>
  <c r="O17" i="6"/>
  <c r="P17" i="6" s="1"/>
  <c r="S16" i="6"/>
  <c r="T16" i="6" s="1"/>
  <c r="O16" i="6"/>
  <c r="P16" i="6" s="1"/>
  <c r="S15" i="6"/>
  <c r="T15" i="6" s="1"/>
  <c r="O15" i="6"/>
  <c r="P15" i="6" s="1"/>
  <c r="Z15" i="6" s="1"/>
  <c r="AA15" i="6" s="1"/>
  <c r="Z29" i="6" l="1"/>
  <c r="AA29" i="6" s="1"/>
  <c r="Z45" i="6"/>
  <c r="AA45" i="6" s="1"/>
  <c r="Z68" i="6"/>
  <c r="AA68" i="6" s="1"/>
  <c r="Z76" i="6"/>
  <c r="AA76" i="6" s="1"/>
  <c r="Z84" i="6"/>
  <c r="AA84" i="6" s="1"/>
  <c r="Z64" i="6"/>
  <c r="AA64" i="6" s="1"/>
  <c r="Z72" i="6"/>
  <c r="AA72" i="6" s="1"/>
  <c r="Z80" i="6"/>
  <c r="AA80" i="6" s="1"/>
  <c r="Z19" i="6"/>
  <c r="AA19" i="6" s="1"/>
  <c r="Z21" i="6"/>
  <c r="AA21" i="6" s="1"/>
  <c r="Z23" i="6"/>
  <c r="AA23" i="6" s="1"/>
  <c r="Z27" i="6"/>
  <c r="AA27" i="6" s="1"/>
  <c r="Z35" i="6"/>
  <c r="AA35" i="6" s="1"/>
  <c r="Z37" i="6"/>
  <c r="AA37" i="6" s="1"/>
  <c r="Z39" i="6"/>
  <c r="AA39" i="6" s="1"/>
  <c r="Z43" i="6"/>
  <c r="AA43" i="6" s="1"/>
  <c r="Z51" i="6"/>
  <c r="AA51" i="6" s="1"/>
  <c r="Z53" i="6"/>
  <c r="AA53" i="6" s="1"/>
  <c r="Z59" i="6"/>
  <c r="AA59" i="6" s="1"/>
  <c r="Z61" i="6"/>
  <c r="AA61" i="6" s="1"/>
  <c r="Z66" i="6"/>
  <c r="AA66" i="6" s="1"/>
  <c r="Z74" i="6"/>
  <c r="AA74" i="6" s="1"/>
  <c r="Z82" i="6"/>
  <c r="AA82" i="6" s="1"/>
  <c r="Z44" i="6"/>
  <c r="AA44" i="6" s="1"/>
  <c r="Z65" i="6"/>
  <c r="AA65" i="6" s="1"/>
  <c r="Z69" i="6"/>
  <c r="AA69" i="6" s="1"/>
  <c r="Z46" i="6"/>
  <c r="AA46" i="6" s="1"/>
  <c r="Z28" i="6"/>
  <c r="AA28" i="6" s="1"/>
  <c r="Z81" i="6"/>
  <c r="AA81" i="6" s="1"/>
  <c r="Z73" i="6"/>
  <c r="AA73" i="6" s="1"/>
  <c r="Z77" i="6"/>
  <c r="AA77" i="6" s="1"/>
  <c r="Z85" i="6"/>
  <c r="AA85" i="6" s="1"/>
  <c r="Z30" i="6"/>
  <c r="AA30" i="6" s="1"/>
  <c r="Z67" i="6"/>
  <c r="AA67" i="6" s="1"/>
  <c r="Z71" i="6"/>
  <c r="AA71" i="6" s="1"/>
  <c r="Z75" i="6"/>
  <c r="AA75" i="6" s="1"/>
  <c r="Z79" i="6"/>
  <c r="AA79" i="6" s="1"/>
  <c r="Z83" i="6"/>
  <c r="AA83" i="6" s="1"/>
  <c r="Z20" i="6"/>
  <c r="AA20" i="6" s="1"/>
  <c r="Z22" i="6"/>
  <c r="AA22" i="6" s="1"/>
  <c r="Z36" i="6"/>
  <c r="AA36" i="6" s="1"/>
  <c r="Z38" i="6"/>
  <c r="AA38" i="6" s="1"/>
  <c r="Z52" i="6"/>
  <c r="AA52" i="6" s="1"/>
  <c r="Z54" i="6"/>
  <c r="AA54" i="6" s="1"/>
  <c r="Z56" i="6"/>
  <c r="AA56" i="6" s="1"/>
  <c r="Z57" i="6"/>
  <c r="AA57" i="6" s="1"/>
  <c r="Z60" i="6"/>
  <c r="AA60" i="6" s="1"/>
  <c r="Z26" i="6"/>
  <c r="AA26" i="6" s="1"/>
  <c r="Z63" i="6"/>
  <c r="AA63" i="6" s="1"/>
  <c r="Z16" i="6"/>
  <c r="AA16" i="6" s="1"/>
  <c r="Z17" i="6"/>
  <c r="AA17" i="6" s="1"/>
  <c r="Z24" i="6"/>
  <c r="AA24" i="6" s="1"/>
  <c r="Z25" i="6"/>
  <c r="AA25" i="6" s="1"/>
  <c r="Z32" i="6"/>
  <c r="AA32" i="6" s="1"/>
  <c r="Z33" i="6"/>
  <c r="AA33" i="6" s="1"/>
  <c r="Z40" i="6"/>
  <c r="AA40" i="6" s="1"/>
  <c r="Z41" i="6"/>
  <c r="AA41" i="6" s="1"/>
  <c r="Z48" i="6"/>
  <c r="AA48" i="6" s="1"/>
  <c r="Z49" i="6"/>
  <c r="AA49" i="6" s="1"/>
  <c r="Z55" i="6"/>
  <c r="AA55" i="6" s="1"/>
  <c r="Z18" i="6"/>
  <c r="AA18" i="6" s="1"/>
  <c r="Z34" i="6"/>
  <c r="AA34" i="6" s="1"/>
  <c r="Z42" i="6"/>
  <c r="AA42" i="6" s="1"/>
  <c r="Z50" i="6"/>
  <c r="AA50" i="6" s="1"/>
  <c r="W89" i="7"/>
  <c r="V89" i="7"/>
  <c r="S89" i="7"/>
  <c r="R89" i="7"/>
  <c r="O89" i="7"/>
  <c r="K89" i="7"/>
  <c r="I89" i="7"/>
  <c r="H89" i="7"/>
  <c r="N85" i="3" l="1"/>
  <c r="N84" i="3"/>
  <c r="N82" i="3"/>
  <c r="N83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 l="1"/>
  <c r="N48" i="3"/>
  <c r="N47" i="3"/>
  <c r="N46" i="3"/>
  <c r="N45" i="3"/>
  <c r="N44" i="3"/>
  <c r="N43" i="3"/>
  <c r="N42" i="3" l="1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O16" i="3"/>
  <c r="O17" i="3"/>
  <c r="O18" i="3"/>
  <c r="N15" i="3"/>
  <c r="O15" i="3" s="1"/>
  <c r="S64" i="3" l="1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52" i="3"/>
  <c r="S53" i="3"/>
  <c r="S55" i="3"/>
  <c r="S56" i="3"/>
  <c r="S57" i="3"/>
  <c r="S58" i="3"/>
  <c r="S59" i="3"/>
  <c r="S60" i="3"/>
  <c r="S61" i="3"/>
  <c r="S63" i="3"/>
  <c r="S46" i="3"/>
  <c r="S47" i="3"/>
  <c r="S48" i="3"/>
  <c r="S49" i="3"/>
  <c r="S50" i="3"/>
  <c r="S51" i="3"/>
  <c r="S41" i="3"/>
  <c r="S42" i="3"/>
  <c r="S43" i="3"/>
  <c r="S44" i="3"/>
  <c r="S45" i="3"/>
  <c r="S33" i="3"/>
  <c r="S34" i="3"/>
  <c r="S35" i="3"/>
  <c r="S36" i="3"/>
  <c r="S37" i="3"/>
  <c r="S38" i="3"/>
  <c r="S39" i="3"/>
  <c r="S40" i="3"/>
  <c r="S30" i="3"/>
  <c r="S31" i="3"/>
  <c r="S32" i="3"/>
  <c r="S27" i="3"/>
  <c r="S28" i="3"/>
  <c r="S29" i="3"/>
  <c r="S26" i="3"/>
  <c r="S23" i="3"/>
  <c r="S24" i="3"/>
  <c r="S25" i="3"/>
  <c r="S19" i="3" l="1"/>
  <c r="S20" i="3"/>
  <c r="S21" i="3"/>
  <c r="S22" i="3"/>
  <c r="S16" i="3"/>
  <c r="S17" i="3"/>
  <c r="S18" i="3"/>
  <c r="S15" i="3"/>
  <c r="P15" i="3" l="1"/>
  <c r="Z15" i="3" s="1"/>
  <c r="P16" i="3"/>
  <c r="Z16" i="3" s="1"/>
  <c r="P17" i="3"/>
  <c r="Z17" i="3" s="1"/>
  <c r="P18" i="3"/>
  <c r="Z18" i="3" s="1"/>
  <c r="O19" i="3"/>
  <c r="P19" i="3" s="1"/>
  <c r="Z19" i="3" s="1"/>
  <c r="O20" i="3"/>
  <c r="P20" i="3" s="1"/>
  <c r="Z20" i="3" s="1"/>
  <c r="O21" i="3"/>
  <c r="P21" i="3" s="1"/>
  <c r="Z21" i="3" s="1"/>
  <c r="AA21" i="3" s="1"/>
  <c r="O22" i="3"/>
  <c r="P22" i="3" s="1"/>
  <c r="Z22" i="3" s="1"/>
  <c r="O23" i="3"/>
  <c r="P23" i="3" s="1"/>
  <c r="Z23" i="3" s="1"/>
  <c r="O24" i="3"/>
  <c r="P24" i="3" s="1"/>
  <c r="Z24" i="3" s="1"/>
  <c r="O25" i="3"/>
  <c r="P25" i="3" s="1"/>
  <c r="O26" i="3"/>
  <c r="P26" i="3" s="1"/>
  <c r="Z26" i="3" s="1"/>
  <c r="O27" i="3"/>
  <c r="P27" i="3" s="1"/>
  <c r="Z27" i="3" s="1"/>
  <c r="O28" i="3"/>
  <c r="P28" i="3" s="1"/>
  <c r="Z28" i="3" s="1"/>
  <c r="O29" i="3"/>
  <c r="P29" i="3" s="1"/>
  <c r="Z29" i="3" s="1"/>
  <c r="O30" i="3"/>
  <c r="P30" i="3" s="1"/>
  <c r="O31" i="3"/>
  <c r="P31" i="3" s="1"/>
  <c r="Z31" i="3" s="1"/>
  <c r="O32" i="3"/>
  <c r="P32" i="3" s="1"/>
  <c r="O33" i="3"/>
  <c r="P33" i="3" s="1"/>
  <c r="Z33" i="3" s="1"/>
  <c r="O34" i="3"/>
  <c r="P34" i="3" s="1"/>
  <c r="Z34" i="3" s="1"/>
  <c r="O35" i="3"/>
  <c r="P35" i="3" s="1"/>
  <c r="Z35" i="3" s="1"/>
  <c r="AA35" i="3" s="1"/>
  <c r="O36" i="3"/>
  <c r="P36" i="3" s="1"/>
  <c r="Z36" i="3" s="1"/>
  <c r="O37" i="3"/>
  <c r="P37" i="3" s="1"/>
  <c r="Z37" i="3" s="1"/>
  <c r="O38" i="3"/>
  <c r="P38" i="3" s="1"/>
  <c r="O39" i="3"/>
  <c r="P39" i="3" s="1"/>
  <c r="O40" i="3"/>
  <c r="P40" i="3" s="1"/>
  <c r="O41" i="3"/>
  <c r="P41" i="3" s="1"/>
  <c r="Z41" i="3" s="1"/>
  <c r="O42" i="3"/>
  <c r="P42" i="3" s="1"/>
  <c r="Z42" i="3" s="1"/>
  <c r="O43" i="3"/>
  <c r="P43" i="3" s="1"/>
  <c r="Z43" i="3" s="1"/>
  <c r="O44" i="3"/>
  <c r="P44" i="3" s="1"/>
  <c r="O45" i="3"/>
  <c r="P45" i="3" s="1"/>
  <c r="Z45" i="3" s="1"/>
  <c r="O46" i="3"/>
  <c r="P46" i="3" s="1"/>
  <c r="O47" i="3"/>
  <c r="P47" i="3" s="1"/>
  <c r="O48" i="3"/>
  <c r="P48" i="3" s="1"/>
  <c r="Z48" i="3" s="1"/>
  <c r="O49" i="3"/>
  <c r="P49" i="3" s="1"/>
  <c r="Z49" i="3" s="1"/>
  <c r="O50" i="3"/>
  <c r="P50" i="3" s="1"/>
  <c r="Z50" i="3" s="1"/>
  <c r="O51" i="3"/>
  <c r="P51" i="3" s="1"/>
  <c r="Z51" i="3" s="1"/>
  <c r="O52" i="3"/>
  <c r="P52" i="3" s="1"/>
  <c r="Z52" i="3" s="1"/>
  <c r="O53" i="3"/>
  <c r="P53" i="3" s="1"/>
  <c r="Z53" i="3" s="1"/>
  <c r="O54" i="3"/>
  <c r="P54" i="3" s="1"/>
  <c r="Z54" i="3" s="1"/>
  <c r="O55" i="3"/>
  <c r="P55" i="3" s="1"/>
  <c r="Z55" i="3" s="1"/>
  <c r="O56" i="3"/>
  <c r="P56" i="3" s="1"/>
  <c r="O57" i="3"/>
  <c r="P57" i="3" s="1"/>
  <c r="Z57" i="3" s="1"/>
  <c r="O58" i="3"/>
  <c r="P58" i="3" s="1"/>
  <c r="O59" i="3"/>
  <c r="P59" i="3" s="1"/>
  <c r="O60" i="3"/>
  <c r="P60" i="3" s="1"/>
  <c r="Z60" i="3" s="1"/>
  <c r="O61" i="3"/>
  <c r="P61" i="3" s="1"/>
  <c r="Z61" i="3" s="1"/>
  <c r="O62" i="3"/>
  <c r="P62" i="3" s="1"/>
  <c r="Z62" i="3" s="1"/>
  <c r="O63" i="3"/>
  <c r="P63" i="3" s="1"/>
  <c r="Z63" i="3" s="1"/>
  <c r="O64" i="3"/>
  <c r="P64" i="3" s="1"/>
  <c r="O65" i="3"/>
  <c r="P65" i="3" s="1"/>
  <c r="Z65" i="3" s="1"/>
  <c r="O66" i="3"/>
  <c r="P66" i="3" s="1"/>
  <c r="Z66" i="3" s="1"/>
  <c r="O67" i="3"/>
  <c r="P67" i="3" s="1"/>
  <c r="O68" i="3"/>
  <c r="P68" i="3" s="1"/>
  <c r="Z68" i="3" s="1"/>
  <c r="O69" i="3"/>
  <c r="P69" i="3" s="1"/>
  <c r="Z69" i="3" s="1"/>
  <c r="O70" i="3"/>
  <c r="P70" i="3" s="1"/>
  <c r="Z70" i="3" s="1"/>
  <c r="O71" i="3"/>
  <c r="P71" i="3" s="1"/>
  <c r="Z71" i="3" s="1"/>
  <c r="O72" i="3"/>
  <c r="P72" i="3" s="1"/>
  <c r="O73" i="3"/>
  <c r="P73" i="3" s="1"/>
  <c r="Z73" i="3" s="1"/>
  <c r="O74" i="3"/>
  <c r="P74" i="3" s="1"/>
  <c r="Z74" i="3" s="1"/>
  <c r="O75" i="3"/>
  <c r="P75" i="3" s="1"/>
  <c r="O76" i="3"/>
  <c r="P76" i="3" s="1"/>
  <c r="O77" i="3"/>
  <c r="P77" i="3" s="1"/>
  <c r="Z77" i="3" s="1"/>
  <c r="O78" i="3"/>
  <c r="P78" i="3" s="1"/>
  <c r="Z78" i="3" s="1"/>
  <c r="O79" i="3"/>
  <c r="P79" i="3" s="1"/>
  <c r="Z79" i="3" s="1"/>
  <c r="O80" i="3"/>
  <c r="P80" i="3" s="1"/>
  <c r="Z80" i="3" s="1"/>
  <c r="O81" i="3"/>
  <c r="P81" i="3" s="1"/>
  <c r="Z81" i="3" s="1"/>
  <c r="O82" i="3"/>
  <c r="P82" i="3" s="1"/>
  <c r="Z82" i="3" s="1"/>
  <c r="O83" i="3"/>
  <c r="P83" i="3" s="1"/>
  <c r="O84" i="3"/>
  <c r="P84" i="3" s="1"/>
  <c r="Z84" i="3" s="1"/>
  <c r="O85" i="3"/>
  <c r="P85" i="3" s="1"/>
  <c r="Z85" i="3" s="1"/>
  <c r="AA85" i="3" l="1"/>
  <c r="Z83" i="3"/>
  <c r="AA83" i="3" s="1"/>
  <c r="AA81" i="3"/>
  <c r="AA79" i="3"/>
  <c r="AA77" i="3"/>
  <c r="Z75" i="3"/>
  <c r="AA75" i="3" s="1"/>
  <c r="AA74" i="3"/>
  <c r="AA73" i="3"/>
  <c r="Z72" i="3"/>
  <c r="AA72" i="3" s="1"/>
  <c r="AA71" i="3"/>
  <c r="AA70" i="3"/>
  <c r="AA69" i="3"/>
  <c r="AA68" i="3"/>
  <c r="Z67" i="3"/>
  <c r="AA67" i="3" s="1"/>
  <c r="AA66" i="3"/>
  <c r="AA65" i="3"/>
  <c r="Z64" i="3"/>
  <c r="AA64" i="3" s="1"/>
  <c r="AA63" i="3"/>
  <c r="AA62" i="3"/>
  <c r="AA60" i="3"/>
  <c r="AA54" i="3"/>
  <c r="Z59" i="3" l="1"/>
  <c r="AA59" i="3" s="1"/>
  <c r="AA16" i="3"/>
  <c r="AA20" i="3"/>
  <c r="Z56" i="3"/>
  <c r="AA56" i="3" s="1"/>
  <c r="Z58" i="3"/>
  <c r="AA58" i="3" s="1"/>
  <c r="AA61" i="3"/>
  <c r="Z30" i="3"/>
  <c r="AA30" i="3" s="1"/>
  <c r="Z46" i="3"/>
  <c r="AA46" i="3" s="1"/>
  <c r="Z76" i="3"/>
  <c r="AA76" i="3" s="1"/>
  <c r="AA78" i="3"/>
  <c r="AA80" i="3"/>
  <c r="AA82" i="3"/>
  <c r="AA15" i="3"/>
  <c r="AA17" i="3"/>
  <c r="AA19" i="3"/>
  <c r="AA55" i="3"/>
  <c r="AA36" i="3"/>
  <c r="AA52" i="3"/>
  <c r="Z38" i="3"/>
  <c r="AA38" i="3" s="1"/>
  <c r="AA26" i="3"/>
  <c r="Z32" i="3"/>
  <c r="AA32" i="3" s="1"/>
  <c r="AA42" i="3"/>
  <c r="AA48" i="3"/>
  <c r="AA23" i="3"/>
  <c r="AA18" i="3"/>
  <c r="AA22" i="3"/>
  <c r="AA24" i="3"/>
  <c r="AA28" i="3"/>
  <c r="AA34" i="3"/>
  <c r="Z40" i="3"/>
  <c r="AA40" i="3" s="1"/>
  <c r="Z44" i="3"/>
  <c r="AA44" i="3" s="1"/>
  <c r="AA50" i="3"/>
  <c r="AA57" i="3"/>
  <c r="AA27" i="3"/>
  <c r="AA51" i="3"/>
  <c r="AA49" i="3"/>
  <c r="AA31" i="3"/>
  <c r="Z39" i="3"/>
  <c r="AA39" i="3" s="1"/>
  <c r="Z47" i="3"/>
  <c r="AA47" i="3" s="1"/>
  <c r="AA84" i="3"/>
  <c r="AA43" i="3"/>
  <c r="Z25" i="3"/>
  <c r="AA25" i="3" s="1"/>
  <c r="AA33" i="3"/>
  <c r="AA41" i="3"/>
  <c r="AA29" i="3"/>
  <c r="AA37" i="3"/>
  <c r="AA45" i="3"/>
  <c r="AA53" i="3"/>
</calcChain>
</file>

<file path=xl/sharedStrings.xml><?xml version="1.0" encoding="utf-8"?>
<sst xmlns="http://schemas.openxmlformats.org/spreadsheetml/2006/main" count="757" uniqueCount="313">
  <si>
    <t>"УТВЕРЖДАЮ"</t>
  </si>
  <si>
    <t>Мониторинг качества финансового менеджмента</t>
  </si>
  <si>
    <t>№№ п/п</t>
  </si>
  <si>
    <t>Наименование территориального органа</t>
  </si>
  <si>
    <t>Кассовый расход</t>
  </si>
  <si>
    <t>ОЦЕНКА СРЕДНЕГО УРОВНЯ КАЧЕСТВА ФИНАНСОВОГО МЕНЕДЖМЕНТА</t>
  </si>
  <si>
    <t>Средний объем кассовых расходов за 1 - 3 квартал</t>
  </si>
  <si>
    <t>Кассовый расход в 4 квартале</t>
  </si>
  <si>
    <t>ИТОГОВАЯ ОЦЕНКА В БАЛЛАХ</t>
  </si>
  <si>
    <t>Общее количество баллов за 1 квартал</t>
  </si>
  <si>
    <t>Общее количество баллов за 2 квартал</t>
  </si>
  <si>
    <t>Общее количество баллов за 3 квартал</t>
  </si>
  <si>
    <t>Общее количество баллов за 4 квартал</t>
  </si>
  <si>
    <t>СУММА
 БАЛЛОВ ПО ИТОГАМ 4 КВАРТАЛОВ</t>
  </si>
  <si>
    <t>Стоимость материальных запасов по состоянию на 1 января отчетного года</t>
  </si>
  <si>
    <t>стоимость материальных запасов по состоянию на 1 января года, следующего за отчетным</t>
  </si>
  <si>
    <t>Стоимость материальных запасов по состоянию на 1 января года, следующего за отчетным</t>
  </si>
  <si>
    <t>Заместитель руководителя</t>
  </si>
  <si>
    <t>БАЛЛЫ ЗА СУММУ СУДЕБНЫХ ИСКОВ</t>
  </si>
  <si>
    <t>БАЛЛЫ ЗА НАЛИЧИЕ НЕДОСТАЧ И ХИЩЕНИЙ</t>
  </si>
  <si>
    <t>Начальник Финансового управления - главный бухгалтер</t>
  </si>
  <si>
    <t>БАЛЛЫ ЗА ТЕМП РОСТА (СНИЖЕНИЯ) ОБЪЕМА МАТЕРИАЛЬ-НЫХ ЗАПАСОВ</t>
  </si>
  <si>
    <t>Темп роста (снижения) объема материаль-ных запасов</t>
  </si>
  <si>
    <t>БАЛЛЫ ЗА ЭФФЕКТИВ-НОСТЬ УПРАВЛЕНИЯ КРЕДИТОРСКОЙ И ДЕБИТОРСКОЙ ЗАДОЛЖЕН-НОСТЬЮ ПО РАСХОДАМ</t>
  </si>
  <si>
    <t>БАЛЛЫ ЗА ФАКТЫ НАРУШЕНИЯ ПОРЯДКА ПРИНЯТИЯ БЮДЖЕТНЫХ ОБЯЗАТЕЛЬСТВ НА ЗАКУПКУ ТОВАРОВ, РАБОТ И УСЛУГ</t>
  </si>
  <si>
    <t>БАЛЛЫ ЗА ФАКТЫ НАРУШЕНИЯ ПОРЯДКА И УСТАНОВЛЕН-НЫХ СРОКОВ УТВЕРЖДЕНИЯ И ВЕДЕНИЯ БЮДЖЕТНЫХ СМЕТ</t>
  </si>
  <si>
    <t>БАЛЛЫ ЗА КАЧЕСТВО УПРАВЛЕНИЯ ДЕБИТОРСКОЙ ЗАДОЛЖЕННОС-ТЬЮ ПО ПЛАТЕЖАМ В БЮДЖЕТ</t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</si>
  <si>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</si>
  <si>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АМУРСКОЙ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</si>
  <si>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</si>
  <si>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</si>
  <si>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</si>
  <si>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</si>
  <si>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ВЛАДИМИРСКОЙ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</si>
  <si>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</si>
  <si>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</si>
  <si>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ВОРОНЕЖСКОЙ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</si>
  <si>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ДАЛЬНЕВОСТОЧНОМУ ФО</t>
    </r>
  </si>
  <si>
    <r>
      <rPr>
        <b/>
        <sz val="10"/>
        <rFont val="Times New Roman"/>
        <family val="1"/>
        <charset val="204"/>
      </rPr>
      <t xml:space="preserve">ЕНИСЕЙСКОЕ УПРАВЛЕНИЕ </t>
    </r>
    <r>
      <rPr>
        <sz val="10"/>
        <rFont val="Times New Roman"/>
        <family val="1"/>
        <charset val="204"/>
      </rPr>
      <t>РОСКОМНАДЗОРА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</si>
  <si>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ЗАБАЙКАЛЬСКОМУ КРАЮ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</si>
  <si>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</si>
  <si>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</si>
  <si>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</si>
  <si>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</si>
  <si>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</si>
  <si>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</si>
  <si>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</si>
  <si>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</si>
  <si>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</si>
  <si>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КОСТРОМСКОЙ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</si>
  <si>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</si>
  <si>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</si>
  <si>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</si>
  <si>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</si>
  <si>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</si>
  <si>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НОВГОРОДСКОЙ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</si>
  <si>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</si>
  <si>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</si>
  <si>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</si>
  <si>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</si>
  <si>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</si>
  <si>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</si>
  <si>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ПРИМОРСКОМУ КРАЮ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</si>
  <si>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ПСКОВСКОЙ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</si>
  <si>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</si>
  <si>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</si>
  <si>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</si>
  <si>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</si>
  <si>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</si>
  <si>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</si>
  <si>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</si>
  <si>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МАРИЙ ЭЛ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</si>
  <si>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МОРДОВИЯ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</si>
  <si>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</si>
  <si>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</si>
  <si>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</si>
  <si>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</si>
  <si>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</si>
  <si>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</si>
  <si>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</si>
  <si>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</si>
  <si>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</si>
  <si>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</si>
  <si>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</si>
  <si>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</si>
  <si>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</si>
  <si>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</si>
  <si>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</si>
  <si>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</si>
  <si>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</si>
  <si>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</si>
  <si>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</si>
  <si>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</si>
  <si>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</si>
  <si>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</si>
  <si>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</si>
  <si>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</si>
  <si>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 xml:space="preserve">ЯРОСЛАВСКОЙ ОБЛАСТИ </t>
    </r>
  </si>
  <si>
    <t>БАЛЛЫ ЗА РАВНОМЕР-НОСТЬ РАСХОДОВ В ТЕЧЕНИИ ФИНАНСО-ВОГО ГОДА</t>
  </si>
  <si>
    <t>БАЛЛЫ ЗА КОЛИЧЕСТВО ФАКТОВ НАРУШЕНИЯ ПОРЯДКА ФОРМИРОВА-НИЯ И ПРЕД-СТАВЛЕНИЯ ГОДОВОЙ БЮДЖЕТНОЙ ОТЧЕТНОСТИ</t>
  </si>
  <si>
    <t>БАЛЛЫ ЗА ДОЛЮ НЕИСПОЛЬЗО-ВАННЫХ НА КОНЕЦ ГОДА БЮДЖЕТНЫХ АССИГНОВА-НИЙ</t>
  </si>
  <si>
    <t>БАЛЛЫ ЗА КАЧЕСТВО ПОДГОТОВКИ К ПРОВЕДЕНИЮ ВНУТРЕННЕГО ФИНАНСОВО-ГО КОНТРОЛЯ</t>
  </si>
  <si>
    <t>Равномер-ность расходов в течении финансового года</t>
  </si>
  <si>
    <t>(годовой мониторинг качества финансового менеджмента проводится по состоянию на 1 января года следующего за отчетным)</t>
  </si>
  <si>
    <t>IV</t>
  </si>
  <si>
    <t xml:space="preserve">IV </t>
  </si>
  <si>
    <t>I</t>
  </si>
  <si>
    <t>III</t>
  </si>
  <si>
    <t>II</t>
  </si>
  <si>
    <t>И.В. Ильина</t>
  </si>
  <si>
    <t>_____________________ В.В. Логунов</t>
  </si>
  <si>
    <t>"____"                     2021  г.</t>
  </si>
  <si>
    <t>территориальных органов Роскомнадзора за 2020 год</t>
  </si>
  <si>
    <t>_____________________ А.А. Панков</t>
  </si>
  <si>
    <t>"____"                     2020  г.</t>
  </si>
  <si>
    <t>территориальных органов Роскомнадзора за 2019 год</t>
  </si>
  <si>
    <t>(годовой проводится по состоянию на 1 января года следующего за отчетным)</t>
  </si>
  <si>
    <t>_____________________  А.А. Панков</t>
  </si>
  <si>
    <t>"____" ______________ 20___ г.</t>
  </si>
  <si>
    <t>ТУ Роскомнадзора за 2018 год</t>
  </si>
  <si>
    <t>Общее коли-чество баллов за 1 квартал</t>
  </si>
  <si>
    <t>Общее коли-чество баллов за 2 квартал</t>
  </si>
  <si>
    <t>Общее коли-чество баллов за 3 квартал</t>
  </si>
  <si>
    <t>Общее коли-чество баллов за 4 квартал</t>
  </si>
  <si>
    <t>СУММА
 БАЛЛОВ ПО ИТОГАМ 4 КВАРТА-ЛОВ</t>
  </si>
  <si>
    <t>Общая
 сумма доведенных лимитов</t>
  </si>
  <si>
    <t>Остаток ЛБО</t>
  </si>
  <si>
    <t>Остаток ЛБО по КОСГУ 213</t>
  </si>
  <si>
    <t>Остаток ЛБО без КОСГУ 213</t>
  </si>
  <si>
    <t>Расчет баллов за остатки ЛБО</t>
  </si>
  <si>
    <t>БАЛЛЫ ЗА ОСТАТ-КИ ЛБО</t>
  </si>
  <si>
    <t>Креди-торская задолжен-ность</t>
  </si>
  <si>
    <t xml:space="preserve">Расчет баллов за объем кредиторс-кой задолжен-ности </t>
  </si>
  <si>
    <t>БАЛЛЫ ЗА ОБЪЕМ КРЕДИТОРС-КОЙ ЗАДОЛЖЕН-НОСТИ</t>
  </si>
  <si>
    <t>Равномер-ность расходов в течении финансо-вого года</t>
  </si>
  <si>
    <t>Стоимость материаль-ных запасов по состоянию на 1 января отчетного года</t>
  </si>
  <si>
    <t>Стоимость материаль-ных запасов по состоянию на 1 января года, следующего за отчетным</t>
  </si>
  <si>
    <t>БАЛЛЫ ЗА ТЕМП РОСТА (СНИЖЕ-НИЯ) ОБЪЕМА МАТЕРИАЛЬ-НЫХ ЗАПАСОВ</t>
  </si>
  <si>
    <t>Баллы за наличие в годовой бюджетной отчетности за очередной финансовый год заполненной формы «Сведения о результатах мероприятий внутреннего контроля»</t>
  </si>
  <si>
    <t>Баллы за качество организации внутреннего финансового контроля</t>
  </si>
  <si>
    <t>ОЦЕНКА СРЕДНЕГО УРОВНЯ КАЧЕСТВА ФИНАНСО-ВОГО МЕНЕДЖ-МЕНТА</t>
  </si>
  <si>
    <t>Рейтинг:                                I - группа;                                                                                          II- группа;                                                             III- группа;                                         IV- группа.</t>
  </si>
  <si>
    <t>Остаток ЛБО по 213</t>
  </si>
  <si>
    <t>Остаток ЛБО без 213</t>
  </si>
  <si>
    <t>7 = 3+4+5+6</t>
  </si>
  <si>
    <t>10 = 8-9</t>
  </si>
  <si>
    <t>12 = 10-11</t>
  </si>
  <si>
    <t>13 = 12/8*100</t>
  </si>
  <si>
    <t>14 = 13</t>
  </si>
  <si>
    <t>16 = 15/8*100</t>
  </si>
  <si>
    <t>17 = 16</t>
  </si>
  <si>
    <t>19 = (9-18)/3</t>
  </si>
  <si>
    <t>20 = (18-19)/19*100</t>
  </si>
  <si>
    <t>24=(23-22)/22*100</t>
  </si>
  <si>
    <t>28 = 7/4-14-17+21+25+26+27</t>
  </si>
  <si>
    <t>29 = 28/71</t>
  </si>
  <si>
    <r>
      <rPr>
        <b/>
        <sz val="10"/>
        <rFont val="Times New Roman"/>
        <family val="1"/>
        <charset val="204"/>
      </rPr>
      <t>ДАЛЬНЕВОСТОЧНОЕ</t>
    </r>
    <r>
      <rPr>
        <sz val="10"/>
        <rFont val="Times New Roman"/>
        <family val="1"/>
        <charset val="204"/>
      </rPr>
      <t xml:space="preserve"> УПРАВЛЕНИЕ РОСКОМНАДЗОРА</t>
    </r>
  </si>
  <si>
    <r>
      <rPr>
        <b/>
        <sz val="10"/>
        <rFont val="Times New Roman"/>
        <family val="1"/>
        <charset val="204"/>
      </rPr>
      <t>ЕНИСЕЙСКОЕ</t>
    </r>
    <r>
      <rPr>
        <sz val="10"/>
        <rFont val="Times New Roman"/>
        <family val="1"/>
        <charset val="204"/>
      </rPr>
      <t xml:space="preserve"> УПРАВЛЕНИЕ РОСКОМНАДЗОРА</t>
    </r>
  </si>
  <si>
    <r>
      <t xml:space="preserve">УПРАВЛЕНИЕ РОСКОМНАДЗОРА ПО РЕСПУБЛИКЕ </t>
    </r>
    <r>
      <rPr>
        <b/>
        <sz val="10"/>
        <rFont val="Times New Roman"/>
        <family val="1"/>
        <charset val="204"/>
      </rPr>
      <t>СЕВЕРНАЯ ОСЕТИЯ-АЛАНИЯ</t>
    </r>
  </si>
  <si>
    <t>Начальник Финансового управления -</t>
  </si>
  <si>
    <t>- главный бухгалтер</t>
  </si>
  <si>
    <t>(подпись)</t>
  </si>
  <si>
    <t>(Ф.И.О.)</t>
  </si>
  <si>
    <t>______________________________ А.А. Панков</t>
  </si>
  <si>
    <t>ТУ Роскомнадзора за 2017 год</t>
  </si>
  <si>
    <t>БАЛЛЫ ЗА ОСТАТКИ ЛБО</t>
  </si>
  <si>
    <t>Кредиторская задолженность</t>
  </si>
  <si>
    <t xml:space="preserve">Расчет баллов за объем кредиторской задолженности </t>
  </si>
  <si>
    <t>БАЛЛЫ ЗА ОБЪЕМ КРЕДИТОРСКОЙ ЗАДОЛЖЕННОСТИ</t>
  </si>
  <si>
    <t>Равномерность расходов в течении финансового года</t>
  </si>
  <si>
    <t>БАЛЛЫ ЗА РАВНОМЕРНОСТЬ РАСХОДОВ В ТЕЧЕНИИ ФИНАНСОВОГО ГОДА</t>
  </si>
  <si>
    <t>Темп роста (снижения) объема материальных запасов</t>
  </si>
  <si>
    <t>БАЛЛЫ ЗА ТЕМП РОСТА (СНИЖЕНИЯ) ОБЪЕМА МАТЕРИАЛЬНЫХ ЗАПАСОВ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</si>
  <si>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</si>
  <si>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</si>
  <si>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</si>
  <si>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</si>
  <si>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</si>
  <si>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</si>
  <si>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</si>
  <si>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</si>
  <si>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</si>
  <si>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</si>
  <si>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rPr>
        <b/>
        <sz val="8"/>
        <rFont val="Arial Cyr"/>
        <charset val="204"/>
      </rPr>
      <t>ДАЛЬНЕВОСТОЧНОЕ</t>
    </r>
    <r>
      <rPr>
        <sz val="8"/>
        <rFont val="Arial Cyr"/>
        <family val="2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</si>
  <si>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</si>
  <si>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</si>
  <si>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</si>
  <si>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</si>
  <si>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</si>
  <si>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</si>
  <si>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</si>
  <si>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</si>
  <si>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</si>
  <si>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</si>
  <si>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</si>
  <si>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</si>
  <si>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rPr>
        <b/>
        <sz val="8"/>
        <rFont val="Arial Cyr"/>
        <charset val="204"/>
      </rPr>
      <t>ЕНИСЕЙСКОЕ</t>
    </r>
    <r>
      <rPr>
        <sz val="8"/>
        <rFont val="Arial Cyr"/>
        <family val="2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</si>
  <si>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</si>
  <si>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</si>
  <si>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</si>
  <si>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</si>
  <si>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</si>
  <si>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</si>
  <si>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</si>
  <si>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</si>
  <si>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</si>
  <si>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</si>
  <si>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</si>
  <si>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</si>
  <si>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</si>
  <si>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</si>
  <si>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</si>
  <si>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</si>
  <si>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</si>
  <si>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</si>
  <si>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</si>
  <si>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</si>
  <si>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</si>
  <si>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</si>
  <si>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</si>
  <si>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</si>
  <si>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</si>
  <si>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</si>
  <si>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РЕСПУБЛИКЕ </t>
    </r>
    <r>
      <rPr>
        <b/>
        <sz val="8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</si>
  <si>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</si>
  <si>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</si>
  <si>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</si>
  <si>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</si>
  <si>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</si>
  <si>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</si>
  <si>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</si>
  <si>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</si>
  <si>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</si>
  <si>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</si>
  <si>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</si>
  <si>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</si>
  <si>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</si>
  <si>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</si>
  <si>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</si>
  <si>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</si>
  <si>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</si>
  <si>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</si>
  <si>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</si>
  <si>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</si>
  <si>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>Кассовый расход за год</t>
  </si>
  <si>
    <t>Рейтинг:                                I - группа                (1,76≤коэфф≤1,59);                     II- группа                               (1,58≤коэфф.≤1,25);                     III- группа                       (1,24≤коэфф.≤0,90);                                         IV- группа                     (коэфф. &lt;0,89).</t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</si>
  <si>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</si>
  <si>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АМУРСКОЙ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</si>
  <si>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</si>
  <si>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</si>
  <si>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</si>
  <si>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</si>
  <si>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ВЛАДИМИРСКОЙ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</si>
  <si>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</si>
  <si>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</si>
  <si>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ВОРОНЕЖСКОЙ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</si>
  <si>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ДАЛЬНЕВОСТОЧНОМУ ФО</t>
    </r>
  </si>
  <si>
    <r>
      <rPr>
        <b/>
        <sz val="10"/>
        <color theme="1"/>
        <rFont val="Times New Roman"/>
        <family val="1"/>
        <charset val="204"/>
      </rPr>
      <t xml:space="preserve">ЕНИСЕЙСКОЕ УПРАВЛЕНИЕ </t>
    </r>
    <r>
      <rPr>
        <sz val="10"/>
        <color theme="1"/>
        <rFont val="Times New Roman"/>
        <family val="1"/>
        <charset val="204"/>
      </rPr>
      <t>РОСКОМНАДЗОРА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</si>
  <si>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ЗАБАЙКАЛЬСКОМУ КРАЮ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</si>
  <si>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</si>
  <si>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</si>
  <si>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</si>
  <si>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</si>
  <si>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</si>
  <si>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</si>
  <si>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</si>
  <si>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</si>
  <si>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</si>
  <si>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КОСТРОМСКОЙ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</si>
  <si>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</si>
  <si>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</si>
  <si>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</si>
  <si>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</si>
  <si>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</si>
  <si>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НОВГОРОДСКОЙ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</si>
  <si>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</si>
  <si>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</si>
  <si>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</si>
  <si>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</si>
  <si>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</si>
  <si>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</si>
  <si>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ПРИМОРСКОМУ КРАЮ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</si>
  <si>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ПСКОВСКОЙ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</si>
  <si>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</si>
  <si>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</si>
  <si>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</si>
  <si>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</si>
  <si>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</si>
  <si>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</si>
  <si>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</si>
  <si>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РЕСПУБЛИКЕ МАРИЙ ЭЛ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</si>
  <si>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РЕСПУБЛИКЕ МОРДОВИЯ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</si>
  <si>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</si>
  <si>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</si>
  <si>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</si>
  <si>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</si>
  <si>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</si>
  <si>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</si>
  <si>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</si>
  <si>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</si>
  <si>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</si>
  <si>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</si>
  <si>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</si>
  <si>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</si>
  <si>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</si>
  <si>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</si>
  <si>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</si>
  <si>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</si>
  <si>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</si>
  <si>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</si>
  <si>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10"/>
        <color theme="1"/>
        <rFont val="Times New Roman"/>
        <family val="1"/>
        <charset val="204"/>
      </rPr>
      <t>УРАЛЬСКОМУ ФО</t>
    </r>
  </si>
  <si>
    <t>Рейтинг:                                I - группа                (1,94≤коэфф≤1,48);                     II- группа                               (1,46≤коэфф.≤1,20);                     III- группа                       (1,18≤коэфф.≤0,88);                                         IV- группа                     (коэфф. ≤0,79).</t>
  </si>
  <si>
    <t xml:space="preserve">Начальник Финансово-административного управления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</si>
</sst>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"/>
  </numFmts>
  <fonts count="4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4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5" fillId="0" borderId="0" xfId="0" applyFont="1" applyFill="1"/>
    <xf numFmtId="2" fontId="5" fillId="0" borderId="0" xfId="0" applyNumberFormat="1" applyFont="1" applyFill="1"/>
    <xf numFmtId="0" fontId="6" fillId="0" borderId="0" xfId="0" applyFont="1" applyFill="1" applyAlignment="1">
      <alignment vertical="top" wrapText="1"/>
    </xf>
    <xf numFmtId="0" fontId="5" fillId="0" borderId="4" xfId="0" applyNumberFormat="1" applyFont="1" applyFill="1" applyBorder="1" applyAlignment="1">
      <alignment horizontal="right"/>
    </xf>
    <xf numFmtId="0" fontId="9" fillId="0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4" fontId="9" fillId="0" borderId="4" xfId="0" applyNumberFormat="1" applyFont="1" applyFill="1" applyBorder="1" applyAlignment="1">
      <alignment horizontal="right"/>
    </xf>
    <xf numFmtId="4" fontId="5" fillId="0" borderId="4" xfId="0" applyNumberFormat="1" applyFont="1" applyFill="1" applyBorder="1" applyAlignment="1">
      <alignment horizontal="right"/>
    </xf>
    <xf numFmtId="2" fontId="9" fillId="0" borderId="4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7" xfId="0" applyNumberFormat="1" applyFont="1" applyFill="1" applyBorder="1"/>
    <xf numFmtId="0" fontId="5" fillId="0" borderId="7" xfId="0" applyNumberFormat="1" applyFont="1" applyFill="1" applyBorder="1" applyAlignment="1">
      <alignment horizontal="right"/>
    </xf>
    <xf numFmtId="0" fontId="9" fillId="0" borderId="7" xfId="0" applyNumberFormat="1" applyFont="1" applyFill="1" applyBorder="1"/>
    <xf numFmtId="0" fontId="9" fillId="0" borderId="0" xfId="0" applyNumberFormat="1" applyFont="1" applyFill="1" applyBorder="1"/>
    <xf numFmtId="0" fontId="5" fillId="0" borderId="0" xfId="0" applyFont="1" applyFill="1" applyBorder="1"/>
    <xf numFmtId="0" fontId="9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/>
    <xf numFmtId="2" fontId="9" fillId="0" borderId="0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0" xfId="0" applyFont="1" applyFill="1"/>
    <xf numFmtId="0" fontId="13" fillId="0" borderId="0" xfId="0" applyFont="1" applyFill="1"/>
    <xf numFmtId="0" fontId="12" fillId="0" borderId="0" xfId="0" applyFont="1" applyFill="1" applyAlignment="1">
      <alignment horizontal="center" wrapText="1"/>
    </xf>
    <xf numFmtId="0" fontId="12" fillId="0" borderId="0" xfId="0" applyFont="1" applyFill="1"/>
    <xf numFmtId="0" fontId="12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4" fillId="0" borderId="0" xfId="0" applyFont="1" applyFill="1" applyBorder="1"/>
    <xf numFmtId="164" fontId="4" fillId="0" borderId="0" xfId="0" applyNumberFormat="1" applyFont="1" applyFill="1" applyBorder="1"/>
    <xf numFmtId="2" fontId="4" fillId="0" borderId="0" xfId="0" applyNumberFormat="1" applyFont="1" applyFill="1" applyBorder="1"/>
    <xf numFmtId="0" fontId="17" fillId="0" borderId="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20" fillId="0" borderId="0" xfId="0" applyNumberFormat="1" applyFont="1" applyFill="1" applyBorder="1"/>
    <xf numFmtId="2" fontId="5" fillId="0" borderId="4" xfId="0" applyNumberFormat="1" applyFont="1" applyFill="1" applyBorder="1" applyAlignment="1">
      <alignment horizontal="right"/>
    </xf>
    <xf numFmtId="0" fontId="27" fillId="0" borderId="0" xfId="0" applyFont="1" applyFill="1"/>
    <xf numFmtId="165" fontId="27" fillId="0" borderId="0" xfId="0" applyNumberFormat="1" applyFont="1" applyFill="1"/>
    <xf numFmtId="0" fontId="28" fillId="0" borderId="0" xfId="0" applyFont="1" applyFill="1" applyAlignment="1">
      <alignment horizontal="center"/>
    </xf>
    <xf numFmtId="0" fontId="28" fillId="0" borderId="0" xfId="0" applyFont="1" applyFill="1"/>
    <xf numFmtId="0" fontId="28" fillId="0" borderId="0" xfId="0" applyFont="1" applyFill="1" applyAlignment="1"/>
    <xf numFmtId="165" fontId="28" fillId="0" borderId="0" xfId="0" applyNumberFormat="1" applyFont="1" applyFill="1"/>
    <xf numFmtId="0" fontId="21" fillId="0" borderId="0" xfId="0" applyFont="1" applyFill="1"/>
    <xf numFmtId="0" fontId="7" fillId="0" borderId="0" xfId="0" applyFont="1" applyFill="1"/>
    <xf numFmtId="165" fontId="7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wrapText="1"/>
    </xf>
    <xf numFmtId="0" fontId="29" fillId="0" borderId="0" xfId="0" applyFont="1" applyFill="1"/>
    <xf numFmtId="165" fontId="4" fillId="0" borderId="0" xfId="0" applyNumberFormat="1" applyFont="1" applyFill="1"/>
    <xf numFmtId="165" fontId="5" fillId="0" borderId="0" xfId="0" applyNumberFormat="1" applyFont="1" applyFill="1"/>
    <xf numFmtId="0" fontId="22" fillId="0" borderId="4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165" fontId="22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/>
    </xf>
    <xf numFmtId="0" fontId="22" fillId="0" borderId="4" xfId="0" applyNumberFormat="1" applyFont="1" applyFill="1" applyBorder="1" applyAlignment="1">
      <alignment horizontal="right"/>
    </xf>
    <xf numFmtId="1" fontId="22" fillId="0" borderId="4" xfId="0" applyNumberFormat="1" applyFont="1" applyFill="1" applyBorder="1" applyAlignment="1">
      <alignment horizontal="center"/>
    </xf>
    <xf numFmtId="1" fontId="21" fillId="0" borderId="4" xfId="0" applyNumberFormat="1" applyFont="1" applyFill="1" applyBorder="1" applyAlignment="1">
      <alignment horizontal="right"/>
    </xf>
    <xf numFmtId="4" fontId="22" fillId="0" borderId="4" xfId="0" applyNumberFormat="1" applyFont="1" applyFill="1" applyBorder="1" applyAlignment="1">
      <alignment horizontal="right"/>
    </xf>
    <xf numFmtId="4" fontId="21" fillId="0" borderId="4" xfId="0" applyNumberFormat="1" applyFont="1" applyFill="1" applyBorder="1" applyAlignment="1">
      <alignment horizontal="right"/>
    </xf>
    <xf numFmtId="3" fontId="21" fillId="0" borderId="4" xfId="0" applyNumberFormat="1" applyFont="1" applyFill="1" applyBorder="1" applyAlignment="1">
      <alignment horizontal="right"/>
    </xf>
    <xf numFmtId="2" fontId="22" fillId="0" borderId="4" xfId="0" applyNumberFormat="1" applyFont="1" applyFill="1" applyBorder="1" applyAlignment="1">
      <alignment horizontal="right"/>
    </xf>
    <xf numFmtId="0" fontId="21" fillId="0" borderId="4" xfId="0" applyNumberFormat="1" applyFont="1" applyFill="1" applyBorder="1" applyAlignment="1">
      <alignment horizontal="right"/>
    </xf>
    <xf numFmtId="165" fontId="21" fillId="0" borderId="4" xfId="0" applyNumberFormat="1" applyFont="1" applyFill="1" applyBorder="1" applyAlignment="1">
      <alignment horizontal="right"/>
    </xf>
    <xf numFmtId="0" fontId="21" fillId="0" borderId="4" xfId="0" applyNumberFormat="1" applyFont="1" applyFill="1" applyBorder="1" applyAlignment="1">
      <alignment horizontal="center"/>
    </xf>
    <xf numFmtId="0" fontId="31" fillId="0" borderId="4" xfId="0" applyNumberFormat="1" applyFont="1" applyFill="1" applyBorder="1" applyAlignment="1">
      <alignment horizontal="center"/>
    </xf>
    <xf numFmtId="4" fontId="5" fillId="0" borderId="0" xfId="0" applyNumberFormat="1" applyFont="1" applyFill="1" applyBorder="1"/>
    <xf numFmtId="1" fontId="5" fillId="0" borderId="0" xfId="0" applyNumberFormat="1" applyFont="1" applyFill="1" applyBorder="1"/>
    <xf numFmtId="3" fontId="9" fillId="0" borderId="0" xfId="0" applyNumberFormat="1" applyFont="1" applyFill="1" applyBorder="1"/>
    <xf numFmtId="4" fontId="9" fillId="0" borderId="0" xfId="0" applyNumberFormat="1" applyFont="1" applyFill="1" applyBorder="1"/>
    <xf numFmtId="0" fontId="9" fillId="0" borderId="0" xfId="0" applyFont="1" applyFill="1" applyBorder="1"/>
    <xf numFmtId="165" fontId="5" fillId="0" borderId="0" xfId="0" applyNumberFormat="1" applyFont="1" applyFill="1" applyBorder="1"/>
    <xf numFmtId="4" fontId="32" fillId="0" borderId="0" xfId="0" applyNumberFormat="1" applyFont="1" applyFill="1"/>
    <xf numFmtId="4" fontId="28" fillId="0" borderId="0" xfId="0" applyNumberFormat="1" applyFont="1" applyFill="1" applyBorder="1"/>
    <xf numFmtId="0" fontId="28" fillId="0" borderId="0" xfId="0" quotePrefix="1" applyFont="1" applyFill="1"/>
    <xf numFmtId="2" fontId="28" fillId="0" borderId="0" xfId="0" applyNumberFormat="1" applyFont="1" applyFill="1"/>
    <xf numFmtId="0" fontId="33" fillId="0" borderId="0" xfId="0" applyFont="1" applyAlignment="1">
      <alignment vertical="top" wrapText="1"/>
    </xf>
    <xf numFmtId="2" fontId="0" fillId="0" borderId="0" xfId="0" applyNumberFormat="1"/>
    <xf numFmtId="0" fontId="0" fillId="0" borderId="0" xfId="0" applyFill="1"/>
    <xf numFmtId="0" fontId="4" fillId="0" borderId="0" xfId="0" applyFont="1" applyAlignment="1">
      <alignment horizontal="center" wrapText="1"/>
    </xf>
    <xf numFmtId="165" fontId="4" fillId="0" borderId="0" xfId="0" applyNumberFormat="1" applyFont="1" applyAlignment="1">
      <alignment horizontal="center" wrapText="1"/>
    </xf>
    <xf numFmtId="0" fontId="34" fillId="0" borderId="0" xfId="0" applyFont="1"/>
    <xf numFmtId="0" fontId="35" fillId="0" borderId="0" xfId="0" applyFont="1" applyAlignment="1">
      <alignment horizontal="left"/>
    </xf>
    <xf numFmtId="165" fontId="34" fillId="0" borderId="0" xfId="0" applyNumberFormat="1" applyFont="1"/>
    <xf numFmtId="165" fontId="0" fillId="0" borderId="0" xfId="0" applyNumberFormat="1"/>
    <xf numFmtId="0" fontId="0" fillId="0" borderId="0" xfId="0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6" fillId="0" borderId="0" xfId="0" applyFont="1"/>
    <xf numFmtId="0" fontId="37" fillId="0" borderId="4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165" fontId="37" fillId="0" borderId="4" xfId="0" applyNumberFormat="1" applyFont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 wrapText="1"/>
    </xf>
    <xf numFmtId="0" fontId="38" fillId="3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4" xfId="0" applyNumberFormat="1" applyBorder="1" applyAlignment="1">
      <alignment horizontal="right"/>
    </xf>
    <xf numFmtId="0" fontId="24" fillId="0" borderId="4" xfId="0" applyNumberFormat="1" applyFont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24" fillId="3" borderId="4" xfId="0" applyNumberFormat="1" applyFont="1" applyFill="1" applyBorder="1" applyAlignment="1">
      <alignment horizontal="right"/>
    </xf>
    <xf numFmtId="3" fontId="24" fillId="0" borderId="4" xfId="0" applyNumberFormat="1" applyFont="1" applyFill="1" applyBorder="1" applyAlignment="1">
      <alignment horizontal="right"/>
    </xf>
    <xf numFmtId="4" fontId="0" fillId="0" borderId="4" xfId="0" applyNumberFormat="1" applyFont="1" applyFill="1" applyBorder="1" applyAlignment="1">
      <alignment horizontal="right"/>
    </xf>
    <xf numFmtId="0" fontId="0" fillId="0" borderId="4" xfId="0" applyNumberFormat="1" applyFill="1" applyBorder="1" applyAlignment="1">
      <alignment horizontal="right"/>
    </xf>
    <xf numFmtId="2" fontId="0" fillId="0" borderId="4" xfId="0" applyNumberFormat="1" applyFill="1" applyBorder="1" applyAlignment="1">
      <alignment horizontal="right"/>
    </xf>
    <xf numFmtId="4" fontId="24" fillId="0" borderId="4" xfId="0" applyNumberFormat="1" applyFont="1" applyFill="1" applyBorder="1" applyAlignment="1">
      <alignment horizontal="right"/>
    </xf>
    <xf numFmtId="0" fontId="24" fillId="0" borderId="4" xfId="0" applyNumberFormat="1" applyFont="1" applyFill="1" applyBorder="1" applyAlignment="1">
      <alignment horizontal="right"/>
    </xf>
    <xf numFmtId="165" fontId="24" fillId="0" borderId="4" xfId="0" applyNumberFormat="1" applyFont="1" applyBorder="1" applyAlignment="1">
      <alignment horizontal="right"/>
    </xf>
    <xf numFmtId="0" fontId="24" fillId="0" borderId="4" xfId="0" applyNumberFormat="1" applyFont="1" applyBorder="1" applyAlignment="1">
      <alignment horizontal="center"/>
    </xf>
    <xf numFmtId="0" fontId="40" fillId="3" borderId="4" xfId="0" applyFont="1" applyFill="1" applyBorder="1" applyAlignment="1">
      <alignment horizontal="left" vertical="center" wrapText="1"/>
    </xf>
    <xf numFmtId="0" fontId="38" fillId="3" borderId="1" xfId="0" applyFont="1" applyFill="1" applyBorder="1" applyAlignment="1">
      <alignment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vertical="center" wrapText="1"/>
    </xf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165" fontId="24" fillId="0" borderId="4" xfId="0" applyNumberFormat="1" applyFont="1" applyFill="1" applyBorder="1" applyAlignment="1">
      <alignment horizontal="right"/>
    </xf>
    <xf numFmtId="0" fontId="24" fillId="0" borderId="4" xfId="0" applyNumberFormat="1" applyFont="1" applyFill="1" applyBorder="1" applyAlignment="1">
      <alignment horizontal="center"/>
    </xf>
    <xf numFmtId="0" fontId="38" fillId="0" borderId="4" xfId="0" applyFont="1" applyFill="1" applyBorder="1" applyAlignment="1">
      <alignment horizontal="left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left" vertical="center" wrapText="1"/>
    </xf>
    <xf numFmtId="0" fontId="0" fillId="0" borderId="7" xfId="0" applyNumberFormat="1" applyBorder="1"/>
    <xf numFmtId="0" fontId="0" fillId="0" borderId="7" xfId="0" applyNumberFormat="1" applyFill="1" applyBorder="1" applyAlignment="1">
      <alignment horizontal="right"/>
    </xf>
    <xf numFmtId="0" fontId="24" fillId="0" borderId="7" xfId="0" applyNumberFormat="1" applyFont="1" applyBorder="1"/>
    <xf numFmtId="2" fontId="0" fillId="0" borderId="0" xfId="0" applyNumberFormat="1" applyBorder="1"/>
    <xf numFmtId="0" fontId="0" fillId="0" borderId="0" xfId="0" applyBorder="1"/>
    <xf numFmtId="4" fontId="0" fillId="3" borderId="0" xfId="0" applyNumberFormat="1" applyFill="1" applyBorder="1"/>
    <xf numFmtId="1" fontId="0" fillId="0" borderId="0" xfId="0" applyNumberFormat="1" applyFont="1" applyBorder="1"/>
    <xf numFmtId="3" fontId="24" fillId="0" borderId="0" xfId="0" applyNumberFormat="1" applyFont="1" applyFill="1" applyBorder="1"/>
    <xf numFmtId="4" fontId="24" fillId="0" borderId="0" xfId="0" applyNumberFormat="1" applyFont="1" applyFill="1" applyBorder="1"/>
    <xf numFmtId="0" fontId="24" fillId="0" borderId="0" xfId="0" applyFont="1" applyFill="1" applyBorder="1"/>
    <xf numFmtId="2" fontId="24" fillId="0" borderId="0" xfId="0" applyNumberFormat="1" applyFont="1" applyFill="1" applyBorder="1"/>
    <xf numFmtId="0" fontId="24" fillId="0" borderId="0" xfId="0" applyNumberFormat="1" applyFont="1" applyBorder="1" applyAlignment="1">
      <alignment horizontal="right"/>
    </xf>
    <xf numFmtId="165" fontId="0" fillId="0" borderId="0" xfId="0" applyNumberFormat="1" applyBorder="1"/>
    <xf numFmtId="2" fontId="24" fillId="0" borderId="0" xfId="0" applyNumberFormat="1" applyFont="1" applyBorder="1"/>
    <xf numFmtId="4" fontId="23" fillId="0" borderId="0" xfId="0" applyNumberFormat="1" applyFont="1"/>
    <xf numFmtId="1" fontId="0" fillId="0" borderId="0" xfId="0" applyNumberFormat="1" applyBorder="1"/>
    <xf numFmtId="0" fontId="0" fillId="0" borderId="0" xfId="0" applyFill="1" applyBorder="1"/>
    <xf numFmtId="0" fontId="4" fillId="0" borderId="0" xfId="0" applyFont="1"/>
    <xf numFmtId="4" fontId="4" fillId="0" borderId="0" xfId="0" applyNumberFormat="1" applyFont="1" applyFill="1" applyBorder="1"/>
    <xf numFmtId="165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quotePrefix="1" applyFont="1"/>
    <xf numFmtId="0" fontId="5" fillId="0" borderId="0" xfId="0" applyFont="1"/>
    <xf numFmtId="0" fontId="9" fillId="0" borderId="9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right"/>
    </xf>
    <xf numFmtId="3" fontId="11" fillId="0" borderId="4" xfId="0" applyNumberFormat="1" applyFont="1" applyFill="1" applyBorder="1" applyAlignment="1">
      <alignment horizontal="right" wrapText="1"/>
    </xf>
    <xf numFmtId="0" fontId="32" fillId="0" borderId="0" xfId="0" applyFont="1" applyFill="1"/>
    <xf numFmtId="0" fontId="23" fillId="0" borderId="0" xfId="0" applyFont="1"/>
    <xf numFmtId="0" fontId="32" fillId="0" borderId="0" xfId="0" applyFont="1" applyFill="1" applyBorder="1"/>
    <xf numFmtId="0" fontId="32" fillId="0" borderId="0" xfId="0" applyFont="1" applyFill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/>
    <xf numFmtId="164" fontId="16" fillId="0" borderId="0" xfId="0" applyNumberFormat="1" applyFont="1" applyFill="1" applyBorder="1"/>
    <xf numFmtId="2" fontId="16" fillId="0" borderId="0" xfId="0" applyNumberFormat="1" applyFont="1" applyFill="1" applyBorder="1"/>
    <xf numFmtId="0" fontId="16" fillId="0" borderId="0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right" wrapText="1"/>
    </xf>
    <xf numFmtId="0" fontId="5" fillId="0" borderId="7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/>
    </xf>
    <xf numFmtId="0" fontId="28" fillId="0" borderId="8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 wrapText="1"/>
    </xf>
    <xf numFmtId="165" fontId="21" fillId="0" borderId="2" xfId="0" applyNumberFormat="1" applyFont="1" applyFill="1" applyBorder="1" applyAlignment="1">
      <alignment horizontal="center" vertical="center" wrapText="1"/>
    </xf>
    <xf numFmtId="165" fontId="21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top" wrapText="1"/>
    </xf>
    <xf numFmtId="0" fontId="26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zoomScale="70" zoomScaleNormal="70" workbookViewId="0">
      <selection activeCell="E96" sqref="E96"/>
    </sheetView>
  </sheetViews>
  <sheetFormatPr defaultRowHeight="15" x14ac:dyDescent="0.25"/>
  <cols>
    <col min="1" max="1" width="4.140625" customWidth="1"/>
    <col min="2" max="2" width="29" customWidth="1"/>
    <col min="3" max="6" width="10.42578125" customWidth="1"/>
    <col min="7" max="7" width="9.42578125" customWidth="1"/>
    <col min="8" max="9" width="11.85546875" customWidth="1"/>
    <col min="10" max="10" width="9.140625" customWidth="1"/>
    <col min="11" max="11" width="10.5703125" customWidth="1"/>
    <col min="12" max="12" width="11.140625" customWidth="1"/>
    <col min="13" max="13" width="9.42578125" customWidth="1"/>
    <col min="14" max="17" width="10.42578125" customWidth="1"/>
    <col min="18" max="18" width="10.28515625" customWidth="1"/>
    <col min="19" max="19" width="12.140625" customWidth="1"/>
    <col min="20" max="20" width="11.85546875" customWidth="1"/>
    <col min="21" max="24" width="12.85546875" customWidth="1"/>
    <col min="25" max="25" width="13.7109375" customWidth="1"/>
    <col min="26" max="26" width="14.7109375" customWidth="1"/>
    <col min="27" max="27" width="13.7109375" customWidth="1"/>
    <col min="28" max="28" width="12.42578125" customWidth="1"/>
    <col min="29" max="29" width="11.42578125" customWidth="1"/>
    <col min="30" max="30" width="12.140625" customWidth="1"/>
  </cols>
  <sheetData>
    <row r="1" spans="1:30" ht="18.75" x14ac:dyDescent="0.3">
      <c r="B1" s="88"/>
      <c r="C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1"/>
      <c r="AC1" s="92"/>
      <c r="AD1" s="91"/>
    </row>
    <row r="2" spans="1:30" ht="18.75" x14ac:dyDescent="0.3">
      <c r="C2" s="93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4" t="s">
        <v>0</v>
      </c>
      <c r="AA2" s="90"/>
      <c r="AB2" s="95"/>
      <c r="AC2" s="96"/>
      <c r="AD2" s="97"/>
    </row>
    <row r="3" spans="1:30" ht="18.75" x14ac:dyDescent="0.3"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8" t="s">
        <v>17</v>
      </c>
      <c r="AA3" s="90"/>
      <c r="AB3" s="97"/>
      <c r="AC3" s="96"/>
      <c r="AD3" s="97"/>
    </row>
    <row r="4" spans="1:30" ht="18.75" x14ac:dyDescent="0.3"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9"/>
      <c r="AA4" s="90"/>
      <c r="AB4" s="97"/>
      <c r="AC4" s="96"/>
      <c r="AD4" s="97"/>
    </row>
    <row r="5" spans="1:30" ht="18.75" x14ac:dyDescent="0.3"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9"/>
      <c r="AA5" s="90"/>
      <c r="AB5" s="97"/>
      <c r="AC5" s="96"/>
      <c r="AD5" s="97"/>
    </row>
    <row r="6" spans="1:30" ht="18.75" x14ac:dyDescent="0.3"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100" t="s">
        <v>163</v>
      </c>
      <c r="AA6" s="90"/>
      <c r="AB6" s="96"/>
      <c r="AC6" s="96"/>
      <c r="AD6" s="97"/>
    </row>
    <row r="7" spans="1:30" ht="18.75" x14ac:dyDescent="0.3"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100"/>
      <c r="AA7" s="90"/>
      <c r="AB7" s="96"/>
      <c r="AC7" s="96"/>
      <c r="AD7" s="97"/>
    </row>
    <row r="8" spans="1:30" ht="18.75" x14ac:dyDescent="0.3"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100" t="s">
        <v>118</v>
      </c>
      <c r="AA8" s="90"/>
      <c r="AB8" s="96"/>
      <c r="AC8" s="96"/>
      <c r="AD8" s="97"/>
    </row>
    <row r="9" spans="1:30" x14ac:dyDescent="0.25">
      <c r="C9" s="89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C9" s="96"/>
      <c r="AD9" s="97"/>
    </row>
    <row r="10" spans="1:30" ht="18.75" x14ac:dyDescent="0.3">
      <c r="A10" s="206" t="s">
        <v>1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</row>
    <row r="11" spans="1:30" ht="18.75" x14ac:dyDescent="0.3">
      <c r="A11" s="206" t="s">
        <v>164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</row>
    <row r="12" spans="1:30" x14ac:dyDescent="0.25">
      <c r="C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C12" s="96"/>
      <c r="AD12" s="97"/>
    </row>
    <row r="13" spans="1:30" x14ac:dyDescent="0.25">
      <c r="A13" s="195" t="s">
        <v>2</v>
      </c>
      <c r="B13" s="195" t="s">
        <v>3</v>
      </c>
      <c r="C13" s="195" t="s">
        <v>9</v>
      </c>
      <c r="D13" s="195" t="s">
        <v>10</v>
      </c>
      <c r="E13" s="195" t="s">
        <v>11</v>
      </c>
      <c r="F13" s="195" t="s">
        <v>12</v>
      </c>
      <c r="G13" s="186" t="s">
        <v>13</v>
      </c>
      <c r="H13" s="192" t="s">
        <v>125</v>
      </c>
      <c r="I13" s="192" t="s">
        <v>4</v>
      </c>
      <c r="J13" s="195" t="s">
        <v>126</v>
      </c>
      <c r="K13" s="195" t="s">
        <v>127</v>
      </c>
      <c r="L13" s="192" t="s">
        <v>128</v>
      </c>
      <c r="M13" s="195" t="s">
        <v>129</v>
      </c>
      <c r="N13" s="183" t="s">
        <v>165</v>
      </c>
      <c r="O13" s="203" t="s">
        <v>166</v>
      </c>
      <c r="P13" s="200" t="s">
        <v>167</v>
      </c>
      <c r="Q13" s="183" t="s">
        <v>168</v>
      </c>
      <c r="R13" s="200" t="s">
        <v>7</v>
      </c>
      <c r="S13" s="200" t="s">
        <v>6</v>
      </c>
      <c r="T13" s="203" t="s">
        <v>169</v>
      </c>
      <c r="U13" s="183" t="s">
        <v>170</v>
      </c>
      <c r="V13" s="200" t="s">
        <v>14</v>
      </c>
      <c r="W13" s="200" t="s">
        <v>16</v>
      </c>
      <c r="X13" s="203" t="s">
        <v>171</v>
      </c>
      <c r="Y13" s="183" t="s">
        <v>172</v>
      </c>
      <c r="Z13" s="183" t="s">
        <v>138</v>
      </c>
      <c r="AA13" s="183" t="s">
        <v>139</v>
      </c>
      <c r="AB13" s="186" t="s">
        <v>8</v>
      </c>
      <c r="AC13" s="189" t="s">
        <v>5</v>
      </c>
      <c r="AD13" s="213" t="s">
        <v>141</v>
      </c>
    </row>
    <row r="14" spans="1:30" ht="60.75" customHeight="1" x14ac:dyDescent="0.25">
      <c r="A14" s="196"/>
      <c r="B14" s="207"/>
      <c r="C14" s="207"/>
      <c r="D14" s="207"/>
      <c r="E14" s="207"/>
      <c r="F14" s="207"/>
      <c r="G14" s="209"/>
      <c r="H14" s="211"/>
      <c r="I14" s="193"/>
      <c r="J14" s="196"/>
      <c r="K14" s="196" t="s">
        <v>142</v>
      </c>
      <c r="L14" s="193" t="s">
        <v>143</v>
      </c>
      <c r="M14" s="196"/>
      <c r="N14" s="184"/>
      <c r="O14" s="204"/>
      <c r="P14" s="201"/>
      <c r="Q14" s="184"/>
      <c r="R14" s="201"/>
      <c r="S14" s="201"/>
      <c r="T14" s="204"/>
      <c r="U14" s="184"/>
      <c r="V14" s="201"/>
      <c r="W14" s="201" t="s">
        <v>15</v>
      </c>
      <c r="X14" s="204"/>
      <c r="Y14" s="184"/>
      <c r="Z14" s="184"/>
      <c r="AA14" s="184"/>
      <c r="AB14" s="187"/>
      <c r="AC14" s="190"/>
      <c r="AD14" s="213"/>
    </row>
    <row r="15" spans="1:30" ht="42" customHeight="1" x14ac:dyDescent="0.25">
      <c r="A15" s="197"/>
      <c r="B15" s="208"/>
      <c r="C15" s="208"/>
      <c r="D15" s="208"/>
      <c r="E15" s="208"/>
      <c r="F15" s="208"/>
      <c r="G15" s="210"/>
      <c r="H15" s="212"/>
      <c r="I15" s="194"/>
      <c r="J15" s="197"/>
      <c r="K15" s="197"/>
      <c r="L15" s="194"/>
      <c r="M15" s="197"/>
      <c r="N15" s="185"/>
      <c r="O15" s="205"/>
      <c r="P15" s="202"/>
      <c r="Q15" s="185"/>
      <c r="R15" s="202"/>
      <c r="S15" s="202"/>
      <c r="T15" s="205"/>
      <c r="U15" s="185"/>
      <c r="V15" s="202"/>
      <c r="W15" s="202"/>
      <c r="X15" s="205"/>
      <c r="Y15" s="185"/>
      <c r="Z15" s="185"/>
      <c r="AA15" s="185"/>
      <c r="AB15" s="188"/>
      <c r="AC15" s="191"/>
      <c r="AD15" s="213"/>
    </row>
    <row r="16" spans="1:30" ht="36" x14ac:dyDescent="0.25">
      <c r="A16" s="101">
        <v>1</v>
      </c>
      <c r="B16" s="101">
        <v>2</v>
      </c>
      <c r="C16" s="102">
        <v>3</v>
      </c>
      <c r="D16" s="101">
        <v>4</v>
      </c>
      <c r="E16" s="101">
        <v>5</v>
      </c>
      <c r="F16" s="101">
        <v>6</v>
      </c>
      <c r="G16" s="101" t="s">
        <v>144</v>
      </c>
      <c r="H16" s="101">
        <v>8</v>
      </c>
      <c r="I16" s="101">
        <v>9</v>
      </c>
      <c r="J16" s="101" t="s">
        <v>145</v>
      </c>
      <c r="K16" s="101">
        <v>11</v>
      </c>
      <c r="L16" s="101" t="s">
        <v>146</v>
      </c>
      <c r="M16" s="103" t="s">
        <v>147</v>
      </c>
      <c r="N16" s="104" t="s">
        <v>148</v>
      </c>
      <c r="O16" s="104">
        <v>15</v>
      </c>
      <c r="P16" s="104" t="s">
        <v>149</v>
      </c>
      <c r="Q16" s="104" t="s">
        <v>150</v>
      </c>
      <c r="R16" s="104">
        <v>18</v>
      </c>
      <c r="S16" s="104" t="s">
        <v>151</v>
      </c>
      <c r="T16" s="105" t="s">
        <v>152</v>
      </c>
      <c r="U16" s="104">
        <v>21</v>
      </c>
      <c r="V16" s="104">
        <v>22</v>
      </c>
      <c r="W16" s="104">
        <v>23</v>
      </c>
      <c r="X16" s="105" t="s">
        <v>153</v>
      </c>
      <c r="Y16" s="104">
        <v>25</v>
      </c>
      <c r="Z16" s="104">
        <v>26</v>
      </c>
      <c r="AA16" s="104">
        <v>27</v>
      </c>
      <c r="AB16" s="106" t="s">
        <v>154</v>
      </c>
      <c r="AC16" s="107" t="s">
        <v>155</v>
      </c>
      <c r="AD16" s="101">
        <v>30</v>
      </c>
    </row>
    <row r="17" spans="1:30" ht="33.75" x14ac:dyDescent="0.25">
      <c r="A17" s="108">
        <v>1</v>
      </c>
      <c r="B17" s="109" t="s">
        <v>173</v>
      </c>
      <c r="C17" s="110">
        <v>70</v>
      </c>
      <c r="D17" s="111">
        <v>80</v>
      </c>
      <c r="E17" s="111">
        <v>77</v>
      </c>
      <c r="F17" s="111">
        <v>65</v>
      </c>
      <c r="G17" s="112">
        <v>292</v>
      </c>
      <c r="H17" s="113">
        <v>38344.54952</v>
      </c>
      <c r="I17" s="113">
        <v>38280.016060000002</v>
      </c>
      <c r="J17" s="114">
        <v>64.53345999999874</v>
      </c>
      <c r="K17" s="114">
        <v>54.541459999999965</v>
      </c>
      <c r="L17" s="115">
        <v>9.9919999999987752</v>
      </c>
      <c r="M17" s="111">
        <v>0</v>
      </c>
      <c r="N17" s="116">
        <v>0</v>
      </c>
      <c r="O17" s="117">
        <v>0</v>
      </c>
      <c r="P17" s="118">
        <v>0</v>
      </c>
      <c r="Q17" s="116">
        <v>0</v>
      </c>
      <c r="R17" s="119">
        <v>9952.9260600000016</v>
      </c>
      <c r="S17" s="117">
        <v>9442.3633333333328</v>
      </c>
      <c r="T17" s="120">
        <v>5.4071497637067791</v>
      </c>
      <c r="U17" s="121">
        <v>10</v>
      </c>
      <c r="V17" s="119">
        <v>643.09871999999996</v>
      </c>
      <c r="W17" s="119">
        <v>462.31869</v>
      </c>
      <c r="X17" s="120">
        <v>-28.110774345811162</v>
      </c>
      <c r="Y17" s="121">
        <v>5</v>
      </c>
      <c r="Z17" s="121">
        <v>5</v>
      </c>
      <c r="AA17" s="121">
        <v>10</v>
      </c>
      <c r="AB17" s="112">
        <v>103</v>
      </c>
      <c r="AC17" s="122">
        <v>1.4507042253521127</v>
      </c>
      <c r="AD17" s="123" t="s">
        <v>106</v>
      </c>
    </row>
    <row r="18" spans="1:30" ht="22.5" x14ac:dyDescent="0.25">
      <c r="A18" s="108">
        <v>2</v>
      </c>
      <c r="B18" s="109" t="s">
        <v>174</v>
      </c>
      <c r="C18" s="110">
        <v>80</v>
      </c>
      <c r="D18" s="111">
        <v>65</v>
      </c>
      <c r="E18" s="111">
        <v>95</v>
      </c>
      <c r="F18" s="111">
        <v>65</v>
      </c>
      <c r="G18" s="112">
        <v>305</v>
      </c>
      <c r="H18" s="113">
        <v>21370.2965</v>
      </c>
      <c r="I18" s="113">
        <v>21284.041960000002</v>
      </c>
      <c r="J18" s="114">
        <v>86.254539999998087</v>
      </c>
      <c r="K18" s="114">
        <v>7.1222299999999814</v>
      </c>
      <c r="L18" s="115">
        <v>79.1323099999981</v>
      </c>
      <c r="M18" s="111">
        <v>0</v>
      </c>
      <c r="N18" s="116">
        <v>0</v>
      </c>
      <c r="O18" s="117">
        <v>2.64316</v>
      </c>
      <c r="P18" s="118">
        <v>0</v>
      </c>
      <c r="Q18" s="116">
        <v>0</v>
      </c>
      <c r="R18" s="119">
        <v>6449.5056100000011</v>
      </c>
      <c r="S18" s="117">
        <v>4944.8454500000007</v>
      </c>
      <c r="T18" s="120">
        <v>30.428861229626502</v>
      </c>
      <c r="U18" s="121">
        <v>0</v>
      </c>
      <c r="V18" s="119">
        <v>422.39640999999995</v>
      </c>
      <c r="W18" s="119">
        <v>458.84634999999997</v>
      </c>
      <c r="X18" s="120">
        <v>8.6293205001434625</v>
      </c>
      <c r="Y18" s="121">
        <v>0</v>
      </c>
      <c r="Z18" s="121">
        <v>5</v>
      </c>
      <c r="AA18" s="121">
        <v>10</v>
      </c>
      <c r="AB18" s="112">
        <v>91.25</v>
      </c>
      <c r="AC18" s="122">
        <v>1.2852112676056338</v>
      </c>
      <c r="AD18" s="123" t="s">
        <v>107</v>
      </c>
    </row>
    <row r="19" spans="1:30" ht="45" x14ac:dyDescent="0.25">
      <c r="A19" s="108">
        <v>3</v>
      </c>
      <c r="B19" s="109" t="s">
        <v>175</v>
      </c>
      <c r="C19" s="110">
        <v>80</v>
      </c>
      <c r="D19" s="111">
        <v>80</v>
      </c>
      <c r="E19" s="111">
        <v>95</v>
      </c>
      <c r="F19" s="111">
        <v>65</v>
      </c>
      <c r="G19" s="112">
        <v>320</v>
      </c>
      <c r="H19" s="113">
        <v>42174.424220000001</v>
      </c>
      <c r="I19" s="113">
        <v>42031.88394</v>
      </c>
      <c r="J19" s="114">
        <v>142.54028000000108</v>
      </c>
      <c r="K19" s="114">
        <v>134.11320999999995</v>
      </c>
      <c r="L19" s="115">
        <v>8.4270700000011232</v>
      </c>
      <c r="M19" s="111">
        <v>0</v>
      </c>
      <c r="N19" s="116">
        <v>0</v>
      </c>
      <c r="O19" s="117">
        <v>0</v>
      </c>
      <c r="P19" s="118">
        <v>0</v>
      </c>
      <c r="Q19" s="116">
        <v>0</v>
      </c>
      <c r="R19" s="119">
        <v>11929.573939999998</v>
      </c>
      <c r="S19" s="117">
        <v>10034.103333333334</v>
      </c>
      <c r="T19" s="120">
        <v>18.890283901800199</v>
      </c>
      <c r="U19" s="121">
        <v>10</v>
      </c>
      <c r="V19" s="119">
        <v>36.021749999999997</v>
      </c>
      <c r="W19" s="119">
        <v>153.92282999999998</v>
      </c>
      <c r="X19" s="120">
        <v>327.30525307626641</v>
      </c>
      <c r="Y19" s="121">
        <v>0</v>
      </c>
      <c r="Z19" s="121">
        <v>5</v>
      </c>
      <c r="AA19" s="121">
        <v>10</v>
      </c>
      <c r="AB19" s="112">
        <v>105</v>
      </c>
      <c r="AC19" s="122">
        <v>1.4788732394366197</v>
      </c>
      <c r="AD19" s="123" t="s">
        <v>106</v>
      </c>
    </row>
    <row r="20" spans="1:30" ht="22.5" x14ac:dyDescent="0.25">
      <c r="A20" s="108">
        <v>4</v>
      </c>
      <c r="B20" s="109" t="s">
        <v>176</v>
      </c>
      <c r="C20" s="110">
        <v>80</v>
      </c>
      <c r="D20" s="111">
        <v>78</v>
      </c>
      <c r="E20" s="111">
        <v>93</v>
      </c>
      <c r="F20" s="111">
        <v>65</v>
      </c>
      <c r="G20" s="112">
        <v>316</v>
      </c>
      <c r="H20" s="113">
        <v>16110.21084</v>
      </c>
      <c r="I20" s="113">
        <v>16054.68131</v>
      </c>
      <c r="J20" s="114">
        <v>55.529529999999795</v>
      </c>
      <c r="K20" s="114">
        <v>30.788839999999851</v>
      </c>
      <c r="L20" s="115">
        <v>24.740689999999944</v>
      </c>
      <c r="M20" s="111">
        <v>0</v>
      </c>
      <c r="N20" s="116">
        <v>0</v>
      </c>
      <c r="O20" s="117">
        <v>1.0000000000000001E-5</v>
      </c>
      <c r="P20" s="118">
        <v>0</v>
      </c>
      <c r="Q20" s="116">
        <v>0</v>
      </c>
      <c r="R20" s="119">
        <v>5887.3258900000001</v>
      </c>
      <c r="S20" s="117">
        <v>3389.1184733333334</v>
      </c>
      <c r="T20" s="120">
        <v>73.712602150776391</v>
      </c>
      <c r="U20" s="121">
        <v>0</v>
      </c>
      <c r="V20" s="119">
        <v>7.7441000000000004</v>
      </c>
      <c r="W20" s="119">
        <v>8.4682499999999994</v>
      </c>
      <c r="X20" s="120">
        <v>9.3509897857723807</v>
      </c>
      <c r="Y20" s="121">
        <v>0</v>
      </c>
      <c r="Z20" s="121">
        <v>5</v>
      </c>
      <c r="AA20" s="121">
        <v>10</v>
      </c>
      <c r="AB20" s="112">
        <v>94</v>
      </c>
      <c r="AC20" s="122">
        <v>1.323943661971831</v>
      </c>
      <c r="AD20" s="123" t="s">
        <v>107</v>
      </c>
    </row>
    <row r="21" spans="1:30" ht="22.5" x14ac:dyDescent="0.25">
      <c r="A21" s="108">
        <v>5</v>
      </c>
      <c r="B21" s="109" t="s">
        <v>177</v>
      </c>
      <c r="C21" s="110">
        <v>80</v>
      </c>
      <c r="D21" s="111">
        <v>95</v>
      </c>
      <c r="E21" s="111">
        <v>95</v>
      </c>
      <c r="F21" s="111">
        <v>65</v>
      </c>
      <c r="G21" s="112">
        <v>335</v>
      </c>
      <c r="H21" s="113">
        <v>15118.986500000001</v>
      </c>
      <c r="I21" s="113">
        <v>15095.0018</v>
      </c>
      <c r="J21" s="114">
        <v>23.984700000000885</v>
      </c>
      <c r="K21" s="114">
        <v>22.79247999999998</v>
      </c>
      <c r="L21" s="115">
        <v>1.1922200000009049</v>
      </c>
      <c r="M21" s="111">
        <v>0</v>
      </c>
      <c r="N21" s="116">
        <v>0</v>
      </c>
      <c r="O21" s="117">
        <v>0</v>
      </c>
      <c r="P21" s="118">
        <v>0</v>
      </c>
      <c r="Q21" s="116">
        <v>0</v>
      </c>
      <c r="R21" s="119">
        <v>3944.5345000000002</v>
      </c>
      <c r="S21" s="117">
        <v>3716.8224333333333</v>
      </c>
      <c r="T21" s="120">
        <v>6.1265252981819058</v>
      </c>
      <c r="U21" s="121">
        <v>10</v>
      </c>
      <c r="V21" s="119">
        <v>579.30313999999998</v>
      </c>
      <c r="W21" s="119">
        <v>4.4497499999999999</v>
      </c>
      <c r="X21" s="120">
        <v>-99.231878839807436</v>
      </c>
      <c r="Y21" s="121">
        <v>5</v>
      </c>
      <c r="Z21" s="121">
        <v>5</v>
      </c>
      <c r="AA21" s="121">
        <v>10</v>
      </c>
      <c r="AB21" s="112">
        <v>113.75</v>
      </c>
      <c r="AC21" s="122">
        <v>1.602112676056338</v>
      </c>
      <c r="AD21" s="123" t="s">
        <v>106</v>
      </c>
    </row>
    <row r="22" spans="1:30" ht="22.5" x14ac:dyDescent="0.25">
      <c r="A22" s="108">
        <v>6</v>
      </c>
      <c r="B22" s="109" t="s">
        <v>178</v>
      </c>
      <c r="C22" s="110">
        <v>80</v>
      </c>
      <c r="D22" s="111">
        <v>95</v>
      </c>
      <c r="E22" s="111">
        <v>95</v>
      </c>
      <c r="F22" s="111">
        <v>65</v>
      </c>
      <c r="G22" s="112">
        <v>335</v>
      </c>
      <c r="H22" s="113">
        <v>17065.468519999999</v>
      </c>
      <c r="I22" s="113">
        <v>17053.15436</v>
      </c>
      <c r="J22" s="114">
        <v>12.314159999998083</v>
      </c>
      <c r="K22" s="114">
        <v>11.164109999999869</v>
      </c>
      <c r="L22" s="115">
        <v>1.1500499999982132</v>
      </c>
      <c r="M22" s="111">
        <v>0</v>
      </c>
      <c r="N22" s="116">
        <v>0</v>
      </c>
      <c r="O22" s="117">
        <v>0</v>
      </c>
      <c r="P22" s="118">
        <v>0</v>
      </c>
      <c r="Q22" s="116">
        <v>0</v>
      </c>
      <c r="R22" s="119">
        <v>5025.044359999999</v>
      </c>
      <c r="S22" s="117">
        <v>4009.3700000000003</v>
      </c>
      <c r="T22" s="120">
        <v>25.332517577574492</v>
      </c>
      <c r="U22" s="121">
        <v>0</v>
      </c>
      <c r="V22" s="119">
        <v>65.620770000000007</v>
      </c>
      <c r="W22" s="119">
        <v>65.576789999999988</v>
      </c>
      <c r="X22" s="120">
        <v>-6.7021462869178469E-2</v>
      </c>
      <c r="Y22" s="121">
        <v>5</v>
      </c>
      <c r="Z22" s="121">
        <v>5</v>
      </c>
      <c r="AA22" s="121">
        <v>10</v>
      </c>
      <c r="AB22" s="112">
        <v>103.75</v>
      </c>
      <c r="AC22" s="122">
        <v>1.4612676056338028</v>
      </c>
      <c r="AD22" s="123" t="s">
        <v>106</v>
      </c>
    </row>
    <row r="23" spans="1:30" ht="22.5" x14ac:dyDescent="0.25">
      <c r="A23" s="108">
        <v>7</v>
      </c>
      <c r="B23" s="109" t="s">
        <v>179</v>
      </c>
      <c r="C23" s="110">
        <v>80</v>
      </c>
      <c r="D23" s="111">
        <v>65</v>
      </c>
      <c r="E23" s="111">
        <v>94</v>
      </c>
      <c r="F23" s="111">
        <v>65</v>
      </c>
      <c r="G23" s="112">
        <v>304</v>
      </c>
      <c r="H23" s="113">
        <v>17665.536499999998</v>
      </c>
      <c r="I23" s="113">
        <v>17642.649269999998</v>
      </c>
      <c r="J23" s="114">
        <v>22.887230000000272</v>
      </c>
      <c r="K23" s="114">
        <v>17.03889000000013</v>
      </c>
      <c r="L23" s="115">
        <v>5.8483400000001424</v>
      </c>
      <c r="M23" s="111">
        <v>0</v>
      </c>
      <c r="N23" s="116">
        <v>0</v>
      </c>
      <c r="O23" s="117">
        <v>0</v>
      </c>
      <c r="P23" s="118">
        <v>0</v>
      </c>
      <c r="Q23" s="116">
        <v>0</v>
      </c>
      <c r="R23" s="119">
        <v>5200.6292699999995</v>
      </c>
      <c r="S23" s="117">
        <v>4147.3399999999992</v>
      </c>
      <c r="T23" s="120">
        <v>25.396742731485734</v>
      </c>
      <c r="U23" s="121">
        <v>0</v>
      </c>
      <c r="V23" s="119">
        <v>522.06704999999999</v>
      </c>
      <c r="W23" s="119">
        <v>537.86405000000002</v>
      </c>
      <c r="X23" s="120">
        <v>3.0258565446718051</v>
      </c>
      <c r="Y23" s="121">
        <v>0</v>
      </c>
      <c r="Z23" s="121">
        <v>5</v>
      </c>
      <c r="AA23" s="121">
        <v>10</v>
      </c>
      <c r="AB23" s="112">
        <v>91</v>
      </c>
      <c r="AC23" s="122">
        <v>1.2816901408450705</v>
      </c>
      <c r="AD23" s="123" t="s">
        <v>107</v>
      </c>
    </row>
    <row r="24" spans="1:30" ht="33.75" x14ac:dyDescent="0.25">
      <c r="A24" s="108">
        <v>8</v>
      </c>
      <c r="B24" s="109" t="s">
        <v>180</v>
      </c>
      <c r="C24" s="110">
        <v>75</v>
      </c>
      <c r="D24" s="111">
        <v>78</v>
      </c>
      <c r="E24" s="111">
        <v>93</v>
      </c>
      <c r="F24" s="111">
        <v>65</v>
      </c>
      <c r="G24" s="112">
        <v>311</v>
      </c>
      <c r="H24" s="113">
        <v>28294.1289</v>
      </c>
      <c r="I24" s="113">
        <v>28242.040690000002</v>
      </c>
      <c r="J24" s="114">
        <v>52.088209999998071</v>
      </c>
      <c r="K24" s="114">
        <v>34.900630000000817</v>
      </c>
      <c r="L24" s="115">
        <v>17.187579999997254</v>
      </c>
      <c r="M24" s="111">
        <v>0</v>
      </c>
      <c r="N24" s="116">
        <v>0</v>
      </c>
      <c r="O24" s="117">
        <v>0</v>
      </c>
      <c r="P24" s="118">
        <v>0</v>
      </c>
      <c r="Q24" s="116">
        <v>0</v>
      </c>
      <c r="R24" s="119">
        <v>9054.9706900000019</v>
      </c>
      <c r="S24" s="117">
        <v>6395.69</v>
      </c>
      <c r="T24" s="120">
        <v>41.579261815378828</v>
      </c>
      <c r="U24" s="121">
        <v>0</v>
      </c>
      <c r="V24" s="119">
        <v>529.64607999999998</v>
      </c>
      <c r="W24" s="119">
        <v>98.337029999999999</v>
      </c>
      <c r="X24" s="120">
        <v>-81.433445141329088</v>
      </c>
      <c r="Y24" s="121">
        <v>5</v>
      </c>
      <c r="Z24" s="121">
        <v>5</v>
      </c>
      <c r="AA24" s="121">
        <v>10</v>
      </c>
      <c r="AB24" s="112">
        <v>97.75</v>
      </c>
      <c r="AC24" s="122">
        <v>1.3767605633802817</v>
      </c>
      <c r="AD24" s="123" t="s">
        <v>108</v>
      </c>
    </row>
    <row r="25" spans="1:30" ht="22.5" x14ac:dyDescent="0.25">
      <c r="A25" s="108">
        <v>9</v>
      </c>
      <c r="B25" s="109" t="s">
        <v>181</v>
      </c>
      <c r="C25" s="110">
        <v>60</v>
      </c>
      <c r="D25" s="111">
        <v>80</v>
      </c>
      <c r="E25" s="111">
        <v>85</v>
      </c>
      <c r="F25" s="111">
        <v>62</v>
      </c>
      <c r="G25" s="112">
        <v>287</v>
      </c>
      <c r="H25" s="113">
        <v>25003.54537</v>
      </c>
      <c r="I25" s="113">
        <v>24902.157609999998</v>
      </c>
      <c r="J25" s="114">
        <v>101.38776000000144</v>
      </c>
      <c r="K25" s="114">
        <v>101.25177000000002</v>
      </c>
      <c r="L25" s="115">
        <v>0.13599000000141359</v>
      </c>
      <c r="M25" s="111">
        <v>0</v>
      </c>
      <c r="N25" s="116">
        <v>0</v>
      </c>
      <c r="O25" s="117">
        <v>79.318660000000008</v>
      </c>
      <c r="P25" s="118">
        <v>0.3</v>
      </c>
      <c r="Q25" s="116">
        <v>3</v>
      </c>
      <c r="R25" s="119">
        <v>10775.69096</v>
      </c>
      <c r="S25" s="117">
        <v>4708.8222166666665</v>
      </c>
      <c r="T25" s="120">
        <v>128.84047144230507</v>
      </c>
      <c r="U25" s="121">
        <v>0</v>
      </c>
      <c r="V25" s="119">
        <v>1185.8963600000002</v>
      </c>
      <c r="W25" s="119">
        <v>710.4692</v>
      </c>
      <c r="X25" s="120">
        <v>-40.090110403914224</v>
      </c>
      <c r="Y25" s="121">
        <v>5</v>
      </c>
      <c r="Z25" s="121">
        <v>5</v>
      </c>
      <c r="AA25" s="121">
        <v>10</v>
      </c>
      <c r="AB25" s="112">
        <v>88.75</v>
      </c>
      <c r="AC25" s="122">
        <v>1.25</v>
      </c>
      <c r="AD25" s="123" t="s">
        <v>107</v>
      </c>
    </row>
    <row r="26" spans="1:30" ht="22.5" x14ac:dyDescent="0.25">
      <c r="A26" s="108">
        <v>10</v>
      </c>
      <c r="B26" s="109" t="s">
        <v>182</v>
      </c>
      <c r="C26" s="110">
        <v>80</v>
      </c>
      <c r="D26" s="111">
        <v>94</v>
      </c>
      <c r="E26" s="111">
        <v>95</v>
      </c>
      <c r="F26" s="111">
        <v>65</v>
      </c>
      <c r="G26" s="112">
        <v>334</v>
      </c>
      <c r="H26" s="113">
        <v>23741.779200000001</v>
      </c>
      <c r="I26" s="113">
        <v>23701.615399999999</v>
      </c>
      <c r="J26" s="114">
        <v>40.163800000002084</v>
      </c>
      <c r="K26" s="114">
        <v>40.163320000000297</v>
      </c>
      <c r="L26" s="115">
        <v>4.8000000178660684E-4</v>
      </c>
      <c r="M26" s="111">
        <v>0</v>
      </c>
      <c r="N26" s="116">
        <v>0</v>
      </c>
      <c r="O26" s="117">
        <v>0</v>
      </c>
      <c r="P26" s="118">
        <v>0</v>
      </c>
      <c r="Q26" s="116">
        <v>0</v>
      </c>
      <c r="R26" s="119">
        <v>7014.0853999999981</v>
      </c>
      <c r="S26" s="117">
        <v>5562.5099999999993</v>
      </c>
      <c r="T26" s="120">
        <v>26.095690614488763</v>
      </c>
      <c r="U26" s="121">
        <v>0</v>
      </c>
      <c r="V26" s="119">
        <v>25.108939999999997</v>
      </c>
      <c r="W26" s="119">
        <v>11.92816</v>
      </c>
      <c r="X26" s="120">
        <v>-52.494370530974223</v>
      </c>
      <c r="Y26" s="121">
        <v>5</v>
      </c>
      <c r="Z26" s="121">
        <v>5</v>
      </c>
      <c r="AA26" s="121">
        <v>10</v>
      </c>
      <c r="AB26" s="112">
        <v>103.5</v>
      </c>
      <c r="AC26" s="122">
        <v>1.4577464788732395</v>
      </c>
      <c r="AD26" s="123" t="s">
        <v>106</v>
      </c>
    </row>
    <row r="27" spans="1:30" ht="22.5" x14ac:dyDescent="0.25">
      <c r="A27" s="108">
        <v>11</v>
      </c>
      <c r="B27" s="124" t="s">
        <v>183</v>
      </c>
      <c r="C27" s="110">
        <v>65</v>
      </c>
      <c r="D27" s="111">
        <v>95</v>
      </c>
      <c r="E27" s="111">
        <v>93</v>
      </c>
      <c r="F27" s="111">
        <v>65</v>
      </c>
      <c r="G27" s="112">
        <v>318</v>
      </c>
      <c r="H27" s="113">
        <v>73113.797000000006</v>
      </c>
      <c r="I27" s="113">
        <v>72768.275290000005</v>
      </c>
      <c r="J27" s="114">
        <v>345.52171000000089</v>
      </c>
      <c r="K27" s="114">
        <v>170.72303999999912</v>
      </c>
      <c r="L27" s="115">
        <v>174.79867000000178</v>
      </c>
      <c r="M27" s="111">
        <v>0</v>
      </c>
      <c r="N27" s="116">
        <v>0</v>
      </c>
      <c r="O27" s="117">
        <v>10.823549999999999</v>
      </c>
      <c r="P27" s="118">
        <v>0</v>
      </c>
      <c r="Q27" s="116">
        <v>0</v>
      </c>
      <c r="R27" s="119">
        <v>20188.315290000006</v>
      </c>
      <c r="S27" s="117">
        <v>17526.653333333332</v>
      </c>
      <c r="T27" s="120">
        <v>15.186367334627151</v>
      </c>
      <c r="U27" s="121">
        <v>10</v>
      </c>
      <c r="V27" s="119">
        <v>864.5489399999999</v>
      </c>
      <c r="W27" s="119">
        <v>1142.6395600000001</v>
      </c>
      <c r="X27" s="120">
        <v>32.165977787214707</v>
      </c>
      <c r="Y27" s="121">
        <v>0</v>
      </c>
      <c r="Z27" s="121">
        <v>5</v>
      </c>
      <c r="AA27" s="121">
        <v>10</v>
      </c>
      <c r="AB27" s="112">
        <v>104.5</v>
      </c>
      <c r="AC27" s="122">
        <v>1.471830985915493</v>
      </c>
      <c r="AD27" s="123" t="s">
        <v>106</v>
      </c>
    </row>
    <row r="28" spans="1:30" ht="22.5" x14ac:dyDescent="0.25">
      <c r="A28" s="108">
        <v>12</v>
      </c>
      <c r="B28" s="109" t="s">
        <v>184</v>
      </c>
      <c r="C28" s="110">
        <v>80</v>
      </c>
      <c r="D28" s="118">
        <v>80</v>
      </c>
      <c r="E28" s="111">
        <v>94</v>
      </c>
      <c r="F28" s="111">
        <v>65</v>
      </c>
      <c r="G28" s="112">
        <v>319</v>
      </c>
      <c r="H28" s="113">
        <v>19170.376700000001</v>
      </c>
      <c r="I28" s="113">
        <v>19107.30342</v>
      </c>
      <c r="J28" s="114">
        <v>63.073280000000523</v>
      </c>
      <c r="K28" s="114">
        <v>33.363459999999961</v>
      </c>
      <c r="L28" s="115">
        <v>29.709820000000562</v>
      </c>
      <c r="M28" s="111">
        <v>0</v>
      </c>
      <c r="N28" s="116">
        <v>0</v>
      </c>
      <c r="O28" s="117">
        <v>0</v>
      </c>
      <c r="P28" s="118">
        <v>0</v>
      </c>
      <c r="Q28" s="116">
        <v>0</v>
      </c>
      <c r="R28" s="119">
        <v>5386.4134200000017</v>
      </c>
      <c r="S28" s="117">
        <v>4573.63</v>
      </c>
      <c r="T28" s="120">
        <v>17.771079427063437</v>
      </c>
      <c r="U28" s="121">
        <v>10</v>
      </c>
      <c r="V28" s="119">
        <v>599.5793000000001</v>
      </c>
      <c r="W28" s="119">
        <v>564.73371999999995</v>
      </c>
      <c r="X28" s="120">
        <v>-5.8116716170822018</v>
      </c>
      <c r="Y28" s="121">
        <v>5</v>
      </c>
      <c r="Z28" s="121">
        <v>5</v>
      </c>
      <c r="AA28" s="121">
        <v>10</v>
      </c>
      <c r="AB28" s="112">
        <v>109.75</v>
      </c>
      <c r="AC28" s="122">
        <v>1.545774647887324</v>
      </c>
      <c r="AD28" s="123" t="s">
        <v>106</v>
      </c>
    </row>
    <row r="29" spans="1:30" ht="22.5" x14ac:dyDescent="0.25">
      <c r="A29" s="108">
        <v>13</v>
      </c>
      <c r="B29" s="109" t="s">
        <v>185</v>
      </c>
      <c r="C29" s="110">
        <v>75</v>
      </c>
      <c r="D29" s="111">
        <v>80</v>
      </c>
      <c r="E29" s="111">
        <v>93</v>
      </c>
      <c r="F29" s="111">
        <v>65</v>
      </c>
      <c r="G29" s="112">
        <v>313</v>
      </c>
      <c r="H29" s="113">
        <v>13546.602720000001</v>
      </c>
      <c r="I29" s="113">
        <v>13540.0838</v>
      </c>
      <c r="J29" s="114">
        <v>6.5189200000004348</v>
      </c>
      <c r="K29" s="114">
        <v>6.506659999999683</v>
      </c>
      <c r="L29" s="115">
        <v>1.2260000000751781E-2</v>
      </c>
      <c r="M29" s="111">
        <v>0</v>
      </c>
      <c r="N29" s="116">
        <v>0</v>
      </c>
      <c r="O29" s="117">
        <v>0</v>
      </c>
      <c r="P29" s="118">
        <v>0</v>
      </c>
      <c r="Q29" s="116">
        <v>0</v>
      </c>
      <c r="R29" s="119">
        <v>3694.5998000000009</v>
      </c>
      <c r="S29" s="117">
        <v>3281.828</v>
      </c>
      <c r="T29" s="120">
        <v>12.577496444054987</v>
      </c>
      <c r="U29" s="121">
        <v>10</v>
      </c>
      <c r="V29" s="119">
        <v>2.3839299999999999</v>
      </c>
      <c r="W29" s="119">
        <v>6.7843599999999995</v>
      </c>
      <c r="X29" s="120">
        <v>184.58721522863507</v>
      </c>
      <c r="Y29" s="121">
        <v>0</v>
      </c>
      <c r="Z29" s="121">
        <v>5</v>
      </c>
      <c r="AA29" s="121">
        <v>10</v>
      </c>
      <c r="AB29" s="112">
        <v>103.25</v>
      </c>
      <c r="AC29" s="122">
        <v>1.454225352112676</v>
      </c>
      <c r="AD29" s="123" t="s">
        <v>106</v>
      </c>
    </row>
    <row r="30" spans="1:30" ht="22.5" x14ac:dyDescent="0.25">
      <c r="A30" s="108">
        <v>14</v>
      </c>
      <c r="B30" s="125" t="s">
        <v>186</v>
      </c>
      <c r="C30" s="110">
        <v>80</v>
      </c>
      <c r="D30" s="111">
        <v>80</v>
      </c>
      <c r="E30" s="111">
        <v>92</v>
      </c>
      <c r="F30" s="111">
        <v>65</v>
      </c>
      <c r="G30" s="112">
        <v>317</v>
      </c>
      <c r="H30" s="113">
        <v>47618.12012</v>
      </c>
      <c r="I30" s="113">
        <v>47586.606770000006</v>
      </c>
      <c r="J30" s="114">
        <v>31.513349999993807</v>
      </c>
      <c r="K30" s="114">
        <v>4.28919000000041</v>
      </c>
      <c r="L30" s="115">
        <v>27.224159999993397</v>
      </c>
      <c r="M30" s="111">
        <v>0</v>
      </c>
      <c r="N30" s="116">
        <v>0</v>
      </c>
      <c r="O30" s="117">
        <v>0</v>
      </c>
      <c r="P30" s="118">
        <v>0</v>
      </c>
      <c r="Q30" s="116">
        <v>0</v>
      </c>
      <c r="R30" s="119">
        <v>12335.969970000006</v>
      </c>
      <c r="S30" s="117">
        <v>11750.212266666667</v>
      </c>
      <c r="T30" s="120">
        <v>4.9850818865207414</v>
      </c>
      <c r="U30" s="121">
        <v>10</v>
      </c>
      <c r="V30" s="119">
        <v>1186.7090700000001</v>
      </c>
      <c r="W30" s="119">
        <v>1338.0543300000002</v>
      </c>
      <c r="X30" s="120">
        <v>12.753358327327863</v>
      </c>
      <c r="Y30" s="121">
        <v>0</v>
      </c>
      <c r="Z30" s="121">
        <v>5</v>
      </c>
      <c r="AA30" s="121">
        <v>10</v>
      </c>
      <c r="AB30" s="112">
        <v>104.25</v>
      </c>
      <c r="AC30" s="122">
        <v>1.4683098591549295</v>
      </c>
      <c r="AD30" s="123" t="s">
        <v>106</v>
      </c>
    </row>
    <row r="31" spans="1:30" ht="33.75" x14ac:dyDescent="0.25">
      <c r="A31" s="108">
        <v>15</v>
      </c>
      <c r="B31" s="109" t="s">
        <v>187</v>
      </c>
      <c r="C31" s="110">
        <v>80</v>
      </c>
      <c r="D31" s="111">
        <v>79</v>
      </c>
      <c r="E31" s="111">
        <v>95</v>
      </c>
      <c r="F31" s="111">
        <v>65</v>
      </c>
      <c r="G31" s="112">
        <v>319</v>
      </c>
      <c r="H31" s="113">
        <v>11085.608850000001</v>
      </c>
      <c r="I31" s="113">
        <v>11045.54386</v>
      </c>
      <c r="J31" s="114">
        <v>40.064990000000762</v>
      </c>
      <c r="K31" s="114">
        <v>13.043620000000113</v>
      </c>
      <c r="L31" s="115">
        <v>27.021370000000651</v>
      </c>
      <c r="M31" s="111">
        <v>0</v>
      </c>
      <c r="N31" s="116">
        <v>0</v>
      </c>
      <c r="O31" s="117">
        <v>3.4359000000000002</v>
      </c>
      <c r="P31" s="118">
        <v>0</v>
      </c>
      <c r="Q31" s="116">
        <v>0</v>
      </c>
      <c r="R31" s="119">
        <v>4022.6958699999991</v>
      </c>
      <c r="S31" s="117">
        <v>2340.9493299999999</v>
      </c>
      <c r="T31" s="120">
        <v>71.840364865992186</v>
      </c>
      <c r="U31" s="121">
        <v>0</v>
      </c>
      <c r="V31" s="119">
        <v>66.576160000000002</v>
      </c>
      <c r="W31" s="119">
        <v>16.54148</v>
      </c>
      <c r="X31" s="120">
        <v>-75.15404913710853</v>
      </c>
      <c r="Y31" s="121">
        <v>5</v>
      </c>
      <c r="Z31" s="121">
        <v>5</v>
      </c>
      <c r="AA31" s="121">
        <v>10</v>
      </c>
      <c r="AB31" s="112">
        <v>99.75</v>
      </c>
      <c r="AC31" s="122">
        <v>1.4049295774647887</v>
      </c>
      <c r="AD31" s="123" t="s">
        <v>108</v>
      </c>
    </row>
    <row r="32" spans="1:30" ht="22.5" x14ac:dyDescent="0.25">
      <c r="A32" s="108">
        <v>16</v>
      </c>
      <c r="B32" s="109" t="s">
        <v>188</v>
      </c>
      <c r="C32" s="110">
        <v>70</v>
      </c>
      <c r="D32" s="111">
        <v>65</v>
      </c>
      <c r="E32" s="111">
        <v>91</v>
      </c>
      <c r="F32" s="111">
        <v>64</v>
      </c>
      <c r="G32" s="112">
        <v>290</v>
      </c>
      <c r="H32" s="113">
        <v>16718.345499999999</v>
      </c>
      <c r="I32" s="113">
        <v>16611.41575</v>
      </c>
      <c r="J32" s="114">
        <v>106.92974999999933</v>
      </c>
      <c r="K32" s="114">
        <v>19.862160000000149</v>
      </c>
      <c r="L32" s="115">
        <v>87.067589999999186</v>
      </c>
      <c r="M32" s="111">
        <v>1</v>
      </c>
      <c r="N32" s="116">
        <v>1</v>
      </c>
      <c r="O32" s="117">
        <v>0</v>
      </c>
      <c r="P32" s="118">
        <v>0</v>
      </c>
      <c r="Q32" s="116">
        <v>0</v>
      </c>
      <c r="R32" s="119">
        <v>4099.3857500000004</v>
      </c>
      <c r="S32" s="117">
        <v>4170.6766666666663</v>
      </c>
      <c r="T32" s="120">
        <v>-1.709336934134571</v>
      </c>
      <c r="U32" s="121">
        <v>10</v>
      </c>
      <c r="V32" s="119">
        <v>677.94418000000007</v>
      </c>
      <c r="W32" s="119">
        <v>384.98464000000001</v>
      </c>
      <c r="X32" s="120">
        <v>-43.212929418466281</v>
      </c>
      <c r="Y32" s="121">
        <v>5</v>
      </c>
      <c r="Z32" s="121">
        <v>5</v>
      </c>
      <c r="AA32" s="121">
        <v>10</v>
      </c>
      <c r="AB32" s="112">
        <v>101.5</v>
      </c>
      <c r="AC32" s="122">
        <v>1.4295774647887325</v>
      </c>
      <c r="AD32" s="123" t="s">
        <v>108</v>
      </c>
    </row>
    <row r="33" spans="1:30" ht="22.5" x14ac:dyDescent="0.25">
      <c r="A33" s="108">
        <v>17</v>
      </c>
      <c r="B33" s="109" t="s">
        <v>189</v>
      </c>
      <c r="C33" s="110">
        <v>70</v>
      </c>
      <c r="D33" s="111">
        <v>78</v>
      </c>
      <c r="E33" s="111">
        <v>91</v>
      </c>
      <c r="F33" s="111">
        <v>65</v>
      </c>
      <c r="G33" s="112">
        <v>304</v>
      </c>
      <c r="H33" s="113">
        <v>12329.758820000001</v>
      </c>
      <c r="I33" s="113">
        <v>12288.96228</v>
      </c>
      <c r="J33" s="114">
        <v>40.796540000001187</v>
      </c>
      <c r="K33" s="114">
        <v>23.872339999999852</v>
      </c>
      <c r="L33" s="115">
        <v>16.924200000001335</v>
      </c>
      <c r="M33" s="111">
        <v>0</v>
      </c>
      <c r="N33" s="116">
        <v>0</v>
      </c>
      <c r="O33" s="117">
        <v>0</v>
      </c>
      <c r="P33" s="118">
        <v>0</v>
      </c>
      <c r="Q33" s="116">
        <v>0</v>
      </c>
      <c r="R33" s="119">
        <v>4239.8262799999993</v>
      </c>
      <c r="S33" s="117">
        <v>2683.0453333333335</v>
      </c>
      <c r="T33" s="120">
        <v>58.02290879418608</v>
      </c>
      <c r="U33" s="121">
        <v>0</v>
      </c>
      <c r="V33" s="119">
        <v>40.780389999999997</v>
      </c>
      <c r="W33" s="119">
        <v>24.66132</v>
      </c>
      <c r="X33" s="120">
        <v>-39.526522429040035</v>
      </c>
      <c r="Y33" s="121">
        <v>5</v>
      </c>
      <c r="Z33" s="121">
        <v>5</v>
      </c>
      <c r="AA33" s="121">
        <v>10</v>
      </c>
      <c r="AB33" s="112">
        <v>96</v>
      </c>
      <c r="AC33" s="122">
        <v>1.352112676056338</v>
      </c>
      <c r="AD33" s="123" t="s">
        <v>108</v>
      </c>
    </row>
    <row r="34" spans="1:30" ht="22.5" x14ac:dyDescent="0.25">
      <c r="A34" s="108">
        <v>18</v>
      </c>
      <c r="B34" s="109" t="s">
        <v>190</v>
      </c>
      <c r="C34" s="110">
        <v>80</v>
      </c>
      <c r="D34" s="111">
        <v>63</v>
      </c>
      <c r="E34" s="111">
        <v>95</v>
      </c>
      <c r="F34" s="111">
        <v>55</v>
      </c>
      <c r="G34" s="112">
        <v>293</v>
      </c>
      <c r="H34" s="113">
        <v>33285.743000000002</v>
      </c>
      <c r="I34" s="113">
        <v>32964.150219999996</v>
      </c>
      <c r="J34" s="114">
        <v>321.59278000000631</v>
      </c>
      <c r="K34" s="114">
        <v>313.62129999999979</v>
      </c>
      <c r="L34" s="115">
        <v>7.9714800000065225</v>
      </c>
      <c r="M34" s="111">
        <v>0</v>
      </c>
      <c r="N34" s="116">
        <v>0</v>
      </c>
      <c r="O34" s="117">
        <v>0</v>
      </c>
      <c r="P34" s="118">
        <v>0</v>
      </c>
      <c r="Q34" s="116">
        <v>0</v>
      </c>
      <c r="R34" s="119">
        <v>9986.749029999999</v>
      </c>
      <c r="S34" s="117">
        <v>7659.1337299999986</v>
      </c>
      <c r="T34" s="120">
        <v>30.390059529617336</v>
      </c>
      <c r="U34" s="121">
        <v>0</v>
      </c>
      <c r="V34" s="119">
        <v>238.93657999999999</v>
      </c>
      <c r="W34" s="119">
        <v>34.295670000000001</v>
      </c>
      <c r="X34" s="120">
        <v>-85.646538508251851</v>
      </c>
      <c r="Y34" s="121">
        <v>5</v>
      </c>
      <c r="Z34" s="121">
        <v>5</v>
      </c>
      <c r="AA34" s="121">
        <v>10</v>
      </c>
      <c r="AB34" s="112">
        <v>93.25</v>
      </c>
      <c r="AC34" s="122">
        <v>1.3133802816901408</v>
      </c>
      <c r="AD34" s="123" t="s">
        <v>107</v>
      </c>
    </row>
    <row r="35" spans="1:30" ht="33.75" x14ac:dyDescent="0.25">
      <c r="A35" s="108">
        <v>19</v>
      </c>
      <c r="B35" s="109" t="s">
        <v>191</v>
      </c>
      <c r="C35" s="110">
        <v>80</v>
      </c>
      <c r="D35" s="111">
        <v>80</v>
      </c>
      <c r="E35" s="111">
        <v>95</v>
      </c>
      <c r="F35" s="111">
        <v>65</v>
      </c>
      <c r="G35" s="112">
        <v>320</v>
      </c>
      <c r="H35" s="113">
        <v>10465.09182</v>
      </c>
      <c r="I35" s="113">
        <v>10457.000169999999</v>
      </c>
      <c r="J35" s="114">
        <v>8.0916500000002998</v>
      </c>
      <c r="K35" s="114">
        <v>8.000440000000177</v>
      </c>
      <c r="L35" s="115">
        <v>9.1210000000122804E-2</v>
      </c>
      <c r="M35" s="111">
        <v>0</v>
      </c>
      <c r="N35" s="116">
        <v>0</v>
      </c>
      <c r="O35" s="117">
        <v>0</v>
      </c>
      <c r="P35" s="118">
        <v>0</v>
      </c>
      <c r="Q35" s="116">
        <v>0</v>
      </c>
      <c r="R35" s="119">
        <v>2920.99017</v>
      </c>
      <c r="S35" s="117">
        <v>2512.0033333333331</v>
      </c>
      <c r="T35" s="120">
        <v>16.281301511011808</v>
      </c>
      <c r="U35" s="121">
        <v>10</v>
      </c>
      <c r="V35" s="119">
        <v>2.1294899999999997</v>
      </c>
      <c r="W35" s="119">
        <v>15.992270000000001</v>
      </c>
      <c r="X35" s="120">
        <v>650.99061277582905</v>
      </c>
      <c r="Y35" s="121">
        <v>0</v>
      </c>
      <c r="Z35" s="121">
        <v>5</v>
      </c>
      <c r="AA35" s="121">
        <v>10</v>
      </c>
      <c r="AB35" s="112">
        <v>105</v>
      </c>
      <c r="AC35" s="122">
        <v>1.4788732394366197</v>
      </c>
      <c r="AD35" s="123" t="s">
        <v>106</v>
      </c>
    </row>
    <row r="36" spans="1:30" ht="22.5" x14ac:dyDescent="0.25">
      <c r="A36" s="108">
        <v>20</v>
      </c>
      <c r="B36" s="109" t="s">
        <v>192</v>
      </c>
      <c r="C36" s="110">
        <v>70</v>
      </c>
      <c r="D36" s="111">
        <v>79</v>
      </c>
      <c r="E36" s="111">
        <v>89</v>
      </c>
      <c r="F36" s="111">
        <v>65</v>
      </c>
      <c r="G36" s="112">
        <v>303</v>
      </c>
      <c r="H36" s="113">
        <v>28975.769769999999</v>
      </c>
      <c r="I36" s="113">
        <v>28919.010670000003</v>
      </c>
      <c r="J36" s="114">
        <v>56.759099999995669</v>
      </c>
      <c r="K36" s="114">
        <v>54.647580000000076</v>
      </c>
      <c r="L36" s="115">
        <v>2.1115199999955934</v>
      </c>
      <c r="M36" s="111">
        <v>0</v>
      </c>
      <c r="N36" s="116">
        <v>0</v>
      </c>
      <c r="O36" s="117">
        <v>6.3234700000000004</v>
      </c>
      <c r="P36" s="118">
        <v>0</v>
      </c>
      <c r="Q36" s="116">
        <v>0</v>
      </c>
      <c r="R36" s="119">
        <v>8789.087150000003</v>
      </c>
      <c r="S36" s="117">
        <v>6709.9745066666665</v>
      </c>
      <c r="T36" s="120">
        <v>30.985403018560547</v>
      </c>
      <c r="U36" s="121">
        <v>0</v>
      </c>
      <c r="V36" s="119">
        <v>165.48045000000002</v>
      </c>
      <c r="W36" s="119">
        <v>151.05592999999999</v>
      </c>
      <c r="X36" s="120">
        <v>-8.716751737138754</v>
      </c>
      <c r="Y36" s="121">
        <v>5</v>
      </c>
      <c r="Z36" s="121">
        <v>5</v>
      </c>
      <c r="AA36" s="121">
        <v>10</v>
      </c>
      <c r="AB36" s="112">
        <v>95.75</v>
      </c>
      <c r="AC36" s="122">
        <v>1.3485915492957747</v>
      </c>
      <c r="AD36" s="123" t="s">
        <v>107</v>
      </c>
    </row>
    <row r="37" spans="1:30" ht="22.5" x14ac:dyDescent="0.25">
      <c r="A37" s="108">
        <v>21</v>
      </c>
      <c r="B37" s="109" t="s">
        <v>193</v>
      </c>
      <c r="C37" s="110">
        <v>65</v>
      </c>
      <c r="D37" s="111">
        <v>63</v>
      </c>
      <c r="E37" s="111">
        <v>94</v>
      </c>
      <c r="F37" s="111">
        <v>65</v>
      </c>
      <c r="G37" s="112">
        <v>287</v>
      </c>
      <c r="H37" s="113">
        <v>18528.12904</v>
      </c>
      <c r="I37" s="113">
        <v>18425.59936</v>
      </c>
      <c r="J37" s="114">
        <v>102.52967999999964</v>
      </c>
      <c r="K37" s="114">
        <v>44.582330000000077</v>
      </c>
      <c r="L37" s="115">
        <v>57.947349999999567</v>
      </c>
      <c r="M37" s="111">
        <v>0</v>
      </c>
      <c r="N37" s="116">
        <v>0</v>
      </c>
      <c r="O37" s="117">
        <v>0</v>
      </c>
      <c r="P37" s="118">
        <v>0</v>
      </c>
      <c r="Q37" s="116">
        <v>0</v>
      </c>
      <c r="R37" s="119">
        <v>5640.9459899999983</v>
      </c>
      <c r="S37" s="117">
        <v>4261.5511233333336</v>
      </c>
      <c r="T37" s="120">
        <v>32.368375428234188</v>
      </c>
      <c r="U37" s="121">
        <v>0</v>
      </c>
      <c r="V37" s="119">
        <v>42.800580000000004</v>
      </c>
      <c r="W37" s="119">
        <v>41.505369999999999</v>
      </c>
      <c r="X37" s="120">
        <v>-3.0261505802024278</v>
      </c>
      <c r="Y37" s="121">
        <v>5</v>
      </c>
      <c r="Z37" s="121">
        <v>5</v>
      </c>
      <c r="AA37" s="121">
        <v>10</v>
      </c>
      <c r="AB37" s="112">
        <v>91.75</v>
      </c>
      <c r="AC37" s="122">
        <v>1.2922535211267605</v>
      </c>
      <c r="AD37" s="123" t="s">
        <v>107</v>
      </c>
    </row>
    <row r="38" spans="1:30" ht="22.5" x14ac:dyDescent="0.25">
      <c r="A38" s="108">
        <v>22</v>
      </c>
      <c r="B38" s="109" t="s">
        <v>194</v>
      </c>
      <c r="C38" s="110">
        <v>80</v>
      </c>
      <c r="D38" s="111">
        <v>95</v>
      </c>
      <c r="E38" s="111">
        <v>95</v>
      </c>
      <c r="F38" s="111">
        <v>65</v>
      </c>
      <c r="G38" s="112">
        <v>335</v>
      </c>
      <c r="H38" s="113">
        <v>14734.0684</v>
      </c>
      <c r="I38" s="113">
        <v>14728.03744</v>
      </c>
      <c r="J38" s="114">
        <v>6.0309600000000501</v>
      </c>
      <c r="K38" s="114">
        <v>5.779270000000019</v>
      </c>
      <c r="L38" s="115">
        <v>0.25169000000003106</v>
      </c>
      <c r="M38" s="111">
        <v>0</v>
      </c>
      <c r="N38" s="116">
        <v>0</v>
      </c>
      <c r="O38" s="117">
        <v>0</v>
      </c>
      <c r="P38" s="118">
        <v>0</v>
      </c>
      <c r="Q38" s="116">
        <v>0</v>
      </c>
      <c r="R38" s="119">
        <v>4362.1174399999991</v>
      </c>
      <c r="S38" s="117">
        <v>3455.3066666666673</v>
      </c>
      <c r="T38" s="120">
        <v>26.244002654853549</v>
      </c>
      <c r="U38" s="121">
        <v>0</v>
      </c>
      <c r="V38" s="119">
        <v>95.48830000000001</v>
      </c>
      <c r="W38" s="119">
        <v>95.26003</v>
      </c>
      <c r="X38" s="120">
        <v>-0.23905546543399459</v>
      </c>
      <c r="Y38" s="121">
        <v>5</v>
      </c>
      <c r="Z38" s="121">
        <v>5</v>
      </c>
      <c r="AA38" s="121">
        <v>10</v>
      </c>
      <c r="AB38" s="112">
        <v>103.75</v>
      </c>
      <c r="AC38" s="122">
        <v>1.4612676056338028</v>
      </c>
      <c r="AD38" s="123" t="s">
        <v>106</v>
      </c>
    </row>
    <row r="39" spans="1:30" ht="22.5" x14ac:dyDescent="0.25">
      <c r="A39" s="108">
        <v>23</v>
      </c>
      <c r="B39" s="109" t="s">
        <v>195</v>
      </c>
      <c r="C39" s="110">
        <v>80</v>
      </c>
      <c r="D39" s="111">
        <v>93</v>
      </c>
      <c r="E39" s="111">
        <v>94</v>
      </c>
      <c r="F39" s="111">
        <v>64</v>
      </c>
      <c r="G39" s="112">
        <v>331</v>
      </c>
      <c r="H39" s="113">
        <v>65552.155200000008</v>
      </c>
      <c r="I39" s="113">
        <v>65367.907479999994</v>
      </c>
      <c r="J39" s="114">
        <v>184.24772000001394</v>
      </c>
      <c r="K39" s="114">
        <v>164.38700999999978</v>
      </c>
      <c r="L39" s="115">
        <v>19.860710000014166</v>
      </c>
      <c r="M39" s="111">
        <v>0</v>
      </c>
      <c r="N39" s="116">
        <v>0</v>
      </c>
      <c r="O39" s="117">
        <v>3.9616700000000002</v>
      </c>
      <c r="P39" s="118">
        <v>0</v>
      </c>
      <c r="Q39" s="116">
        <v>0</v>
      </c>
      <c r="R39" s="119">
        <v>23881.922799999997</v>
      </c>
      <c r="S39" s="117">
        <v>13828.661559999999</v>
      </c>
      <c r="T39" s="120">
        <v>72.698729348323127</v>
      </c>
      <c r="U39" s="121">
        <v>0</v>
      </c>
      <c r="V39" s="119">
        <v>1209.47741</v>
      </c>
      <c r="W39" s="119">
        <v>1336.9289099999999</v>
      </c>
      <c r="X39" s="120">
        <v>10.537732986678924</v>
      </c>
      <c r="Y39" s="121">
        <v>0</v>
      </c>
      <c r="Z39" s="121">
        <v>5</v>
      </c>
      <c r="AA39" s="121">
        <v>10</v>
      </c>
      <c r="AB39" s="112">
        <v>97.75</v>
      </c>
      <c r="AC39" s="122">
        <v>1.3767605633802817</v>
      </c>
      <c r="AD39" s="123" t="s">
        <v>108</v>
      </c>
    </row>
    <row r="40" spans="1:30" ht="22.5" x14ac:dyDescent="0.25">
      <c r="A40" s="108">
        <v>24</v>
      </c>
      <c r="B40" s="124" t="s">
        <v>196</v>
      </c>
      <c r="C40" s="110">
        <v>70</v>
      </c>
      <c r="D40" s="111">
        <v>74</v>
      </c>
      <c r="E40" s="111">
        <v>93</v>
      </c>
      <c r="F40" s="111">
        <v>59</v>
      </c>
      <c r="G40" s="112">
        <v>296</v>
      </c>
      <c r="H40" s="113">
        <v>76231.478340000001</v>
      </c>
      <c r="I40" s="113">
        <v>75967.804230000009</v>
      </c>
      <c r="J40" s="114">
        <v>263.67410999999265</v>
      </c>
      <c r="K40" s="114">
        <v>146.0719299999997</v>
      </c>
      <c r="L40" s="115">
        <v>117.60217999999296</v>
      </c>
      <c r="M40" s="111">
        <v>0</v>
      </c>
      <c r="N40" s="116">
        <v>0</v>
      </c>
      <c r="O40" s="117">
        <v>66.733820000000009</v>
      </c>
      <c r="P40" s="118">
        <v>0.1</v>
      </c>
      <c r="Q40" s="116">
        <v>1</v>
      </c>
      <c r="R40" s="119">
        <v>29611.845180000011</v>
      </c>
      <c r="S40" s="117">
        <v>15451.986349999999</v>
      </c>
      <c r="T40" s="120">
        <v>91.637790179642593</v>
      </c>
      <c r="U40" s="121">
        <v>0</v>
      </c>
      <c r="V40" s="119">
        <v>698.07818000000009</v>
      </c>
      <c r="W40" s="119">
        <v>46.352370000000001</v>
      </c>
      <c r="X40" s="120">
        <v>-93.360003030033127</v>
      </c>
      <c r="Y40" s="121">
        <v>5</v>
      </c>
      <c r="Z40" s="121">
        <v>5</v>
      </c>
      <c r="AA40" s="121">
        <v>10</v>
      </c>
      <c r="AB40" s="112">
        <v>93</v>
      </c>
      <c r="AC40" s="122">
        <v>1.3098591549295775</v>
      </c>
      <c r="AD40" s="123" t="s">
        <v>107</v>
      </c>
    </row>
    <row r="41" spans="1:30" ht="22.5" x14ac:dyDescent="0.25">
      <c r="A41" s="108">
        <v>25</v>
      </c>
      <c r="B41" s="109" t="s">
        <v>197</v>
      </c>
      <c r="C41" s="110">
        <v>65</v>
      </c>
      <c r="D41" s="111">
        <v>64</v>
      </c>
      <c r="E41" s="111">
        <v>93</v>
      </c>
      <c r="F41" s="111">
        <v>63</v>
      </c>
      <c r="G41" s="112">
        <v>285</v>
      </c>
      <c r="H41" s="113">
        <v>15461.902820000001</v>
      </c>
      <c r="I41" s="113">
        <v>15300.618410000001</v>
      </c>
      <c r="J41" s="114">
        <v>161.28441000000021</v>
      </c>
      <c r="K41" s="114">
        <v>55.176060000000057</v>
      </c>
      <c r="L41" s="115">
        <v>106.10835000000014</v>
      </c>
      <c r="M41" s="111">
        <v>1</v>
      </c>
      <c r="N41" s="116">
        <v>1</v>
      </c>
      <c r="O41" s="117">
        <v>1.3149600000000001</v>
      </c>
      <c r="P41" s="118">
        <v>0</v>
      </c>
      <c r="Q41" s="116">
        <v>0</v>
      </c>
      <c r="R41" s="119">
        <v>5163.4684100000004</v>
      </c>
      <c r="S41" s="117">
        <v>3379.0500000000006</v>
      </c>
      <c r="T41" s="120">
        <v>52.808286648614235</v>
      </c>
      <c r="U41" s="121">
        <v>0</v>
      </c>
      <c r="V41" s="119">
        <v>1127.1152500000001</v>
      </c>
      <c r="W41" s="119">
        <v>993.72529000000009</v>
      </c>
      <c r="X41" s="120">
        <v>-11.834633592261303</v>
      </c>
      <c r="Y41" s="121">
        <v>5</v>
      </c>
      <c r="Z41" s="121">
        <v>5</v>
      </c>
      <c r="AA41" s="121">
        <v>10</v>
      </c>
      <c r="AB41" s="112">
        <v>90.25</v>
      </c>
      <c r="AC41" s="122">
        <v>1.2711267605633803</v>
      </c>
      <c r="AD41" s="123" t="s">
        <v>107</v>
      </c>
    </row>
    <row r="42" spans="1:30" ht="22.5" x14ac:dyDescent="0.25">
      <c r="A42" s="108">
        <v>26</v>
      </c>
      <c r="B42" s="109" t="s">
        <v>198</v>
      </c>
      <c r="C42" s="110">
        <v>80</v>
      </c>
      <c r="D42" s="111">
        <v>95</v>
      </c>
      <c r="E42" s="111">
        <v>92</v>
      </c>
      <c r="F42" s="111">
        <v>65</v>
      </c>
      <c r="G42" s="112">
        <v>332</v>
      </c>
      <c r="H42" s="113">
        <v>13217.251819999999</v>
      </c>
      <c r="I42" s="113">
        <v>13186.705679999999</v>
      </c>
      <c r="J42" s="114">
        <v>30.546140000000378</v>
      </c>
      <c r="K42" s="114">
        <v>25.745619999999647</v>
      </c>
      <c r="L42" s="115">
        <v>4.8005200000007306</v>
      </c>
      <c r="M42" s="111">
        <v>0</v>
      </c>
      <c r="N42" s="116">
        <v>0</v>
      </c>
      <c r="O42" s="117">
        <v>0.14598</v>
      </c>
      <c r="P42" s="118">
        <v>0</v>
      </c>
      <c r="Q42" s="116">
        <v>0</v>
      </c>
      <c r="R42" s="119">
        <v>3678.3056799999995</v>
      </c>
      <c r="S42" s="117">
        <v>3169.4666666666667</v>
      </c>
      <c r="T42" s="120">
        <v>16.05440494720456</v>
      </c>
      <c r="U42" s="121">
        <v>10</v>
      </c>
      <c r="V42" s="119">
        <v>92.096820000000008</v>
      </c>
      <c r="W42" s="119">
        <v>89.0441</v>
      </c>
      <c r="X42" s="120">
        <v>-3.3146855667763639</v>
      </c>
      <c r="Y42" s="121">
        <v>5</v>
      </c>
      <c r="Z42" s="121">
        <v>5</v>
      </c>
      <c r="AA42" s="121">
        <v>10</v>
      </c>
      <c r="AB42" s="112">
        <v>113</v>
      </c>
      <c r="AC42" s="122">
        <v>1.591549295774648</v>
      </c>
      <c r="AD42" s="123" t="s">
        <v>106</v>
      </c>
    </row>
    <row r="43" spans="1:30" ht="22.5" x14ac:dyDescent="0.25">
      <c r="A43" s="108">
        <v>27</v>
      </c>
      <c r="B43" s="109" t="s">
        <v>199</v>
      </c>
      <c r="C43" s="110">
        <v>80</v>
      </c>
      <c r="D43" s="111">
        <v>95</v>
      </c>
      <c r="E43" s="111">
        <v>92</v>
      </c>
      <c r="F43" s="111">
        <v>65</v>
      </c>
      <c r="G43" s="112">
        <v>332</v>
      </c>
      <c r="H43" s="113">
        <v>15512.810820000001</v>
      </c>
      <c r="I43" s="113">
        <v>15488.49317</v>
      </c>
      <c r="J43" s="114">
        <v>24.317650000000867</v>
      </c>
      <c r="K43" s="114">
        <v>19.251079999999607</v>
      </c>
      <c r="L43" s="115">
        <v>5.0665700000012599</v>
      </c>
      <c r="M43" s="111">
        <v>0</v>
      </c>
      <c r="N43" s="116">
        <v>0</v>
      </c>
      <c r="O43" s="117">
        <v>0</v>
      </c>
      <c r="P43" s="118">
        <v>0</v>
      </c>
      <c r="Q43" s="116">
        <v>0</v>
      </c>
      <c r="R43" s="119">
        <v>4581.54817</v>
      </c>
      <c r="S43" s="117">
        <v>3635.6483333333331</v>
      </c>
      <c r="T43" s="120">
        <v>26.017363340513782</v>
      </c>
      <c r="U43" s="121">
        <v>0</v>
      </c>
      <c r="V43" s="119">
        <v>298.72376000000003</v>
      </c>
      <c r="W43" s="119">
        <v>189.12594000000001</v>
      </c>
      <c r="X43" s="120">
        <v>-36.688685225440388</v>
      </c>
      <c r="Y43" s="121">
        <v>5</v>
      </c>
      <c r="Z43" s="121">
        <v>5</v>
      </c>
      <c r="AA43" s="121">
        <v>10</v>
      </c>
      <c r="AB43" s="112">
        <v>103</v>
      </c>
      <c r="AC43" s="122">
        <v>1.4507042253521127</v>
      </c>
      <c r="AD43" s="123" t="s">
        <v>106</v>
      </c>
    </row>
    <row r="44" spans="1:30" ht="45" x14ac:dyDescent="0.25">
      <c r="A44" s="108">
        <v>28</v>
      </c>
      <c r="B44" s="109" t="s">
        <v>200</v>
      </c>
      <c r="C44" s="110">
        <v>65</v>
      </c>
      <c r="D44" s="111">
        <v>69</v>
      </c>
      <c r="E44" s="111">
        <v>93</v>
      </c>
      <c r="F44" s="111">
        <v>65</v>
      </c>
      <c r="G44" s="112">
        <v>292</v>
      </c>
      <c r="H44" s="113">
        <v>28133.517500000002</v>
      </c>
      <c r="I44" s="113">
        <v>27837.810300000001</v>
      </c>
      <c r="J44" s="114">
        <v>295.70720000000074</v>
      </c>
      <c r="K44" s="114">
        <v>265.9228700000001</v>
      </c>
      <c r="L44" s="115">
        <v>29.784330000000637</v>
      </c>
      <c r="M44" s="111">
        <v>0</v>
      </c>
      <c r="N44" s="116">
        <v>0</v>
      </c>
      <c r="O44" s="117">
        <v>0</v>
      </c>
      <c r="P44" s="118">
        <v>0</v>
      </c>
      <c r="Q44" s="116">
        <v>0</v>
      </c>
      <c r="R44" s="119">
        <v>7912.5403000000006</v>
      </c>
      <c r="S44" s="117">
        <v>6641.7566666666671</v>
      </c>
      <c r="T44" s="120">
        <v>19.133245873205233</v>
      </c>
      <c r="U44" s="121">
        <v>10</v>
      </c>
      <c r="V44" s="119">
        <v>707.72831999999994</v>
      </c>
      <c r="W44" s="119">
        <v>12.408469999999999</v>
      </c>
      <c r="X44" s="120">
        <v>-98.246718458292023</v>
      </c>
      <c r="Y44" s="121">
        <v>5</v>
      </c>
      <c r="Z44" s="121">
        <v>5</v>
      </c>
      <c r="AA44" s="121">
        <v>10</v>
      </c>
      <c r="AB44" s="112">
        <v>103</v>
      </c>
      <c r="AC44" s="122">
        <v>1.4507042253521127</v>
      </c>
      <c r="AD44" s="123" t="s">
        <v>106</v>
      </c>
    </row>
    <row r="45" spans="1:30" ht="22.5" x14ac:dyDescent="0.25">
      <c r="A45" s="108">
        <v>29</v>
      </c>
      <c r="B45" s="109" t="s">
        <v>201</v>
      </c>
      <c r="C45" s="110">
        <v>80</v>
      </c>
      <c r="D45" s="111">
        <v>95</v>
      </c>
      <c r="E45" s="111">
        <v>95</v>
      </c>
      <c r="F45" s="111">
        <v>64</v>
      </c>
      <c r="G45" s="112">
        <v>334</v>
      </c>
      <c r="H45" s="113">
        <v>169321.56659</v>
      </c>
      <c r="I45" s="113">
        <v>169321.54512999998</v>
      </c>
      <c r="J45" s="114">
        <v>2.1460000018123537E-2</v>
      </c>
      <c r="K45" s="114">
        <v>0</v>
      </c>
      <c r="L45" s="115">
        <v>2.1460000018123537E-2</v>
      </c>
      <c r="M45" s="111">
        <v>0</v>
      </c>
      <c r="N45" s="116">
        <v>0</v>
      </c>
      <c r="O45" s="117">
        <v>88.750230000000002</v>
      </c>
      <c r="P45" s="118">
        <v>0.1</v>
      </c>
      <c r="Q45" s="116">
        <v>1</v>
      </c>
      <c r="R45" s="119">
        <v>61416.044609999983</v>
      </c>
      <c r="S45" s="117">
        <v>35968.500173333334</v>
      </c>
      <c r="T45" s="120">
        <v>70.749528932355062</v>
      </c>
      <c r="U45" s="121">
        <v>0</v>
      </c>
      <c r="V45" s="119">
        <v>9817.7300500000001</v>
      </c>
      <c r="W45" s="119">
        <v>4215.76685</v>
      </c>
      <c r="X45" s="120">
        <v>-57.05965810294407</v>
      </c>
      <c r="Y45" s="121">
        <v>5</v>
      </c>
      <c r="Z45" s="121">
        <v>5</v>
      </c>
      <c r="AA45" s="121">
        <v>10</v>
      </c>
      <c r="AB45" s="112">
        <v>102.5</v>
      </c>
      <c r="AC45" s="122">
        <v>1.443661971830986</v>
      </c>
      <c r="AD45" s="123" t="s">
        <v>108</v>
      </c>
    </row>
    <row r="46" spans="1:30" ht="22.5" x14ac:dyDescent="0.25">
      <c r="A46" s="108">
        <v>30</v>
      </c>
      <c r="B46" s="109" t="s">
        <v>202</v>
      </c>
      <c r="C46" s="110">
        <v>80</v>
      </c>
      <c r="D46" s="111">
        <v>69</v>
      </c>
      <c r="E46" s="111">
        <v>94</v>
      </c>
      <c r="F46" s="111">
        <v>62</v>
      </c>
      <c r="G46" s="112">
        <v>305</v>
      </c>
      <c r="H46" s="113">
        <v>33671.872689999997</v>
      </c>
      <c r="I46" s="113">
        <v>33560.06652</v>
      </c>
      <c r="J46" s="114">
        <v>111.8061699999962</v>
      </c>
      <c r="K46" s="114">
        <v>108.85762000000011</v>
      </c>
      <c r="L46" s="115">
        <v>2.9485499999960894</v>
      </c>
      <c r="M46" s="111">
        <v>0</v>
      </c>
      <c r="N46" s="116">
        <v>0</v>
      </c>
      <c r="O46" s="117">
        <v>90.539249999999996</v>
      </c>
      <c r="P46" s="118">
        <v>0.3</v>
      </c>
      <c r="Q46" s="116">
        <v>3</v>
      </c>
      <c r="R46" s="119">
        <v>8099.7865200000033</v>
      </c>
      <c r="S46" s="117">
        <v>8486.76</v>
      </c>
      <c r="T46" s="120">
        <v>-4.5597316290315373</v>
      </c>
      <c r="U46" s="121">
        <v>10</v>
      </c>
      <c r="V46" s="119">
        <v>138.37635</v>
      </c>
      <c r="W46" s="119">
        <v>101.65296000000001</v>
      </c>
      <c r="X46" s="120">
        <v>-26.538776315461416</v>
      </c>
      <c r="Y46" s="121">
        <v>5</v>
      </c>
      <c r="Z46" s="121">
        <v>5</v>
      </c>
      <c r="AA46" s="121">
        <v>10</v>
      </c>
      <c r="AB46" s="112">
        <v>103.25</v>
      </c>
      <c r="AC46" s="122">
        <v>1.454225352112676</v>
      </c>
      <c r="AD46" s="123" t="s">
        <v>106</v>
      </c>
    </row>
    <row r="47" spans="1:30" ht="22.5" x14ac:dyDescent="0.25">
      <c r="A47" s="108">
        <v>31</v>
      </c>
      <c r="B47" s="109" t="s">
        <v>203</v>
      </c>
      <c r="C47" s="110">
        <v>65</v>
      </c>
      <c r="D47" s="111">
        <v>79</v>
      </c>
      <c r="E47" s="111">
        <v>84</v>
      </c>
      <c r="F47" s="111">
        <v>65</v>
      </c>
      <c r="G47" s="112">
        <v>293</v>
      </c>
      <c r="H47" s="113">
        <v>43927.089939999998</v>
      </c>
      <c r="I47" s="113">
        <v>43905.033920000002</v>
      </c>
      <c r="J47" s="114">
        <v>22.056019999996352</v>
      </c>
      <c r="K47" s="114">
        <v>8.1000000052154067E-4</v>
      </c>
      <c r="L47" s="115">
        <v>22.055209999995832</v>
      </c>
      <c r="M47" s="111">
        <v>0</v>
      </c>
      <c r="N47" s="116">
        <v>0</v>
      </c>
      <c r="O47" s="117">
        <v>15.273680000000001</v>
      </c>
      <c r="P47" s="118">
        <v>0</v>
      </c>
      <c r="Q47" s="116">
        <v>0</v>
      </c>
      <c r="R47" s="119">
        <v>13952.198370000006</v>
      </c>
      <c r="S47" s="117">
        <v>9984.2785166666654</v>
      </c>
      <c r="T47" s="120">
        <v>39.74167834671006</v>
      </c>
      <c r="U47" s="121">
        <v>0</v>
      </c>
      <c r="V47" s="119">
        <v>824.08488</v>
      </c>
      <c r="W47" s="119">
        <v>262.12383</v>
      </c>
      <c r="X47" s="120">
        <v>-68.192132101732057</v>
      </c>
      <c r="Y47" s="121">
        <v>5</v>
      </c>
      <c r="Z47" s="121">
        <v>5</v>
      </c>
      <c r="AA47" s="121">
        <v>10</v>
      </c>
      <c r="AB47" s="112">
        <v>93.25</v>
      </c>
      <c r="AC47" s="122">
        <v>1.3133802816901408</v>
      </c>
      <c r="AD47" s="123" t="s">
        <v>107</v>
      </c>
    </row>
    <row r="48" spans="1:30" ht="22.5" x14ac:dyDescent="0.25">
      <c r="A48" s="108">
        <v>32</v>
      </c>
      <c r="B48" s="109" t="s">
        <v>204</v>
      </c>
      <c r="C48" s="110">
        <v>80</v>
      </c>
      <c r="D48" s="111">
        <v>95</v>
      </c>
      <c r="E48" s="111">
        <v>95</v>
      </c>
      <c r="F48" s="111">
        <v>65</v>
      </c>
      <c r="G48" s="112">
        <v>335</v>
      </c>
      <c r="H48" s="113">
        <v>11751.56732</v>
      </c>
      <c r="I48" s="113">
        <v>11724.740609999999</v>
      </c>
      <c r="J48" s="114">
        <v>26.826710000001185</v>
      </c>
      <c r="K48" s="114">
        <v>26.334060000000054</v>
      </c>
      <c r="L48" s="115">
        <v>0.49265000000113091</v>
      </c>
      <c r="M48" s="111">
        <v>0</v>
      </c>
      <c r="N48" s="116">
        <v>0</v>
      </c>
      <c r="O48" s="117">
        <v>0</v>
      </c>
      <c r="P48" s="118">
        <v>0</v>
      </c>
      <c r="Q48" s="116">
        <v>0</v>
      </c>
      <c r="R48" s="119">
        <v>3752.0106099999994</v>
      </c>
      <c r="S48" s="117">
        <v>2657.5766666666664</v>
      </c>
      <c r="T48" s="120">
        <v>41.181650827257407</v>
      </c>
      <c r="U48" s="121">
        <v>0</v>
      </c>
      <c r="V48" s="119">
        <v>701.97387000000003</v>
      </c>
      <c r="W48" s="119">
        <v>516.21361000000002</v>
      </c>
      <c r="X48" s="120">
        <v>-26.462560493882769</v>
      </c>
      <c r="Y48" s="121">
        <v>5</v>
      </c>
      <c r="Z48" s="121">
        <v>5</v>
      </c>
      <c r="AA48" s="121">
        <v>10</v>
      </c>
      <c r="AB48" s="112">
        <v>103.75</v>
      </c>
      <c r="AC48" s="122">
        <v>1.4612676056338028</v>
      </c>
      <c r="AD48" s="123" t="s">
        <v>106</v>
      </c>
    </row>
    <row r="49" spans="1:30" ht="22.5" x14ac:dyDescent="0.25">
      <c r="A49" s="108">
        <v>33</v>
      </c>
      <c r="B49" s="109" t="s">
        <v>205</v>
      </c>
      <c r="C49" s="110">
        <v>65</v>
      </c>
      <c r="D49" s="111">
        <v>79</v>
      </c>
      <c r="E49" s="111">
        <v>94</v>
      </c>
      <c r="F49" s="111">
        <v>55</v>
      </c>
      <c r="G49" s="112">
        <v>293</v>
      </c>
      <c r="H49" s="113">
        <v>49398.631999999998</v>
      </c>
      <c r="I49" s="113">
        <v>49221.813909999997</v>
      </c>
      <c r="J49" s="114">
        <v>176.81809000000067</v>
      </c>
      <c r="K49" s="114">
        <v>139.07249000000022</v>
      </c>
      <c r="L49" s="115">
        <v>37.745600000000451</v>
      </c>
      <c r="M49" s="111">
        <v>0</v>
      </c>
      <c r="N49" s="116">
        <v>0</v>
      </c>
      <c r="O49" s="117">
        <v>0</v>
      </c>
      <c r="P49" s="118">
        <v>0</v>
      </c>
      <c r="Q49" s="116">
        <v>0</v>
      </c>
      <c r="R49" s="119">
        <v>15405.588139999993</v>
      </c>
      <c r="S49" s="117">
        <v>11272.075256666669</v>
      </c>
      <c r="T49" s="120">
        <v>36.670380468659765</v>
      </c>
      <c r="U49" s="121">
        <v>0</v>
      </c>
      <c r="V49" s="119">
        <v>283.03651000000002</v>
      </c>
      <c r="W49" s="119">
        <v>123.53280000000001</v>
      </c>
      <c r="X49" s="120">
        <v>-56.354464658993997</v>
      </c>
      <c r="Y49" s="121">
        <v>5</v>
      </c>
      <c r="Z49" s="121">
        <v>5</v>
      </c>
      <c r="AA49" s="121">
        <v>10</v>
      </c>
      <c r="AB49" s="112">
        <v>93.25</v>
      </c>
      <c r="AC49" s="122">
        <v>1.3133802816901408</v>
      </c>
      <c r="AD49" s="123" t="s">
        <v>107</v>
      </c>
    </row>
    <row r="50" spans="1:30" ht="22.5" x14ac:dyDescent="0.25">
      <c r="A50" s="108">
        <v>34</v>
      </c>
      <c r="B50" s="109" t="s">
        <v>206</v>
      </c>
      <c r="C50" s="110">
        <v>80</v>
      </c>
      <c r="D50" s="111">
        <v>75</v>
      </c>
      <c r="E50" s="111">
        <v>95</v>
      </c>
      <c r="F50" s="111">
        <v>65</v>
      </c>
      <c r="G50" s="112">
        <v>315</v>
      </c>
      <c r="H50" s="113">
        <v>28113.910260000001</v>
      </c>
      <c r="I50" s="113">
        <v>28093.010340000001</v>
      </c>
      <c r="J50" s="114">
        <v>20.899919999999838</v>
      </c>
      <c r="K50" s="114">
        <v>5.6100000003352765E-3</v>
      </c>
      <c r="L50" s="115">
        <v>20.894309999999503</v>
      </c>
      <c r="M50" s="111">
        <v>0</v>
      </c>
      <c r="N50" s="116">
        <v>0</v>
      </c>
      <c r="O50" s="117">
        <v>11.38382</v>
      </c>
      <c r="P50" s="118">
        <v>0</v>
      </c>
      <c r="Q50" s="116">
        <v>0</v>
      </c>
      <c r="R50" s="119">
        <v>7883.0326000000014</v>
      </c>
      <c r="S50" s="117">
        <v>6736.6592466666661</v>
      </c>
      <c r="T50" s="120">
        <v>17.016941355621732</v>
      </c>
      <c r="U50" s="121">
        <v>10</v>
      </c>
      <c r="V50" s="119">
        <v>7.5382600000000002</v>
      </c>
      <c r="W50" s="119">
        <v>5.1959499999999998</v>
      </c>
      <c r="X50" s="120">
        <v>-31.072289891831804</v>
      </c>
      <c r="Y50" s="121">
        <v>5</v>
      </c>
      <c r="Z50" s="121">
        <v>5</v>
      </c>
      <c r="AA50" s="121">
        <v>10</v>
      </c>
      <c r="AB50" s="112">
        <v>108.75</v>
      </c>
      <c r="AC50" s="122">
        <v>1.5316901408450705</v>
      </c>
      <c r="AD50" s="123" t="s">
        <v>106</v>
      </c>
    </row>
    <row r="51" spans="1:30" ht="22.5" x14ac:dyDescent="0.25">
      <c r="A51" s="108">
        <v>35</v>
      </c>
      <c r="B51" s="109" t="s">
        <v>207</v>
      </c>
      <c r="C51" s="110">
        <v>80</v>
      </c>
      <c r="D51" s="111">
        <v>94</v>
      </c>
      <c r="E51" s="111">
        <v>91</v>
      </c>
      <c r="F51" s="111">
        <v>65</v>
      </c>
      <c r="G51" s="112">
        <v>330</v>
      </c>
      <c r="H51" s="113">
        <v>25263.85</v>
      </c>
      <c r="I51" s="113">
        <v>25263.67467</v>
      </c>
      <c r="J51" s="114">
        <v>0.17532999999821186</v>
      </c>
      <c r="K51" s="114">
        <v>2.3100000000093133E-2</v>
      </c>
      <c r="L51" s="115">
        <v>0.15222999999811873</v>
      </c>
      <c r="M51" s="111">
        <v>0</v>
      </c>
      <c r="N51" s="116">
        <v>0</v>
      </c>
      <c r="O51" s="117">
        <v>0</v>
      </c>
      <c r="P51" s="118">
        <v>0</v>
      </c>
      <c r="Q51" s="116">
        <v>0</v>
      </c>
      <c r="R51" s="119">
        <v>7690.0946700000022</v>
      </c>
      <c r="S51" s="117">
        <v>5857.86</v>
      </c>
      <c r="T51" s="120">
        <v>31.278225666028252</v>
      </c>
      <c r="U51" s="121">
        <v>0</v>
      </c>
      <c r="V51" s="119">
        <v>453.52128999999996</v>
      </c>
      <c r="W51" s="119">
        <v>154.45930999999999</v>
      </c>
      <c r="X51" s="120">
        <v>-65.942214090985658</v>
      </c>
      <c r="Y51" s="121">
        <v>5</v>
      </c>
      <c r="Z51" s="121">
        <v>5</v>
      </c>
      <c r="AA51" s="121">
        <v>10</v>
      </c>
      <c r="AB51" s="112">
        <v>102.5</v>
      </c>
      <c r="AC51" s="122">
        <v>1.443661971830986</v>
      </c>
      <c r="AD51" s="123" t="s">
        <v>108</v>
      </c>
    </row>
    <row r="52" spans="1:30" ht="22.5" x14ac:dyDescent="0.25">
      <c r="A52" s="108">
        <v>36</v>
      </c>
      <c r="B52" s="109" t="s">
        <v>208</v>
      </c>
      <c r="C52" s="110">
        <v>80</v>
      </c>
      <c r="D52" s="111">
        <v>80</v>
      </c>
      <c r="E52" s="111">
        <v>95</v>
      </c>
      <c r="F52" s="111">
        <v>65</v>
      </c>
      <c r="G52" s="112">
        <v>320</v>
      </c>
      <c r="H52" s="113">
        <v>12737.062820000001</v>
      </c>
      <c r="I52" s="113">
        <v>12718.988009999999</v>
      </c>
      <c r="J52" s="114">
        <v>18.074810000001889</v>
      </c>
      <c r="K52" s="114">
        <v>17.155550000000048</v>
      </c>
      <c r="L52" s="115">
        <v>0.9192600000018416</v>
      </c>
      <c r="M52" s="111">
        <v>0</v>
      </c>
      <c r="N52" s="116">
        <v>0</v>
      </c>
      <c r="O52" s="117">
        <v>1.1220000000000001E-2</v>
      </c>
      <c r="P52" s="118">
        <v>0</v>
      </c>
      <c r="Q52" s="116">
        <v>0</v>
      </c>
      <c r="R52" s="119">
        <v>3778.81801</v>
      </c>
      <c r="S52" s="117">
        <v>2980.0566666666659</v>
      </c>
      <c r="T52" s="120">
        <v>26.803562236512313</v>
      </c>
      <c r="U52" s="121">
        <v>0</v>
      </c>
      <c r="V52" s="119">
        <v>187.48254</v>
      </c>
      <c r="W52" s="119">
        <v>159.62135000000001</v>
      </c>
      <c r="X52" s="120">
        <v>-14.860685160335461</v>
      </c>
      <c r="Y52" s="121">
        <v>5</v>
      </c>
      <c r="Z52" s="121">
        <v>5</v>
      </c>
      <c r="AA52" s="121">
        <v>10</v>
      </c>
      <c r="AB52" s="112">
        <v>100</v>
      </c>
      <c r="AC52" s="122">
        <v>1.408450704225352</v>
      </c>
      <c r="AD52" s="123" t="s">
        <v>108</v>
      </c>
    </row>
    <row r="53" spans="1:30" ht="22.5" x14ac:dyDescent="0.25">
      <c r="A53" s="108">
        <v>37</v>
      </c>
      <c r="B53" s="109" t="s">
        <v>209</v>
      </c>
      <c r="C53" s="110">
        <v>80</v>
      </c>
      <c r="D53" s="111">
        <v>94</v>
      </c>
      <c r="E53" s="111">
        <v>95</v>
      </c>
      <c r="F53" s="111">
        <v>65</v>
      </c>
      <c r="G53" s="112">
        <v>334</v>
      </c>
      <c r="H53" s="113">
        <v>17908.93317</v>
      </c>
      <c r="I53" s="113">
        <v>17908.723300000001</v>
      </c>
      <c r="J53" s="114">
        <v>0.20986999999877298</v>
      </c>
      <c r="K53" s="114">
        <v>0.20081999999983235</v>
      </c>
      <c r="L53" s="115">
        <v>9.0499999989406277E-3</v>
      </c>
      <c r="M53" s="111">
        <v>0</v>
      </c>
      <c r="N53" s="116">
        <v>0</v>
      </c>
      <c r="O53" s="117">
        <v>0</v>
      </c>
      <c r="P53" s="118">
        <v>0</v>
      </c>
      <c r="Q53" s="116">
        <v>0</v>
      </c>
      <c r="R53" s="119">
        <v>5349.4133000000011</v>
      </c>
      <c r="S53" s="117">
        <v>4186.4366666666674</v>
      </c>
      <c r="T53" s="120">
        <v>27.779630409632379</v>
      </c>
      <c r="U53" s="121">
        <v>0</v>
      </c>
      <c r="V53" s="119">
        <v>196.51004</v>
      </c>
      <c r="W53" s="119">
        <v>192.31664000000001</v>
      </c>
      <c r="X53" s="120">
        <v>-2.1339367698464651</v>
      </c>
      <c r="Y53" s="121">
        <v>5</v>
      </c>
      <c r="Z53" s="121">
        <v>5</v>
      </c>
      <c r="AA53" s="121">
        <v>10</v>
      </c>
      <c r="AB53" s="112">
        <v>103.5</v>
      </c>
      <c r="AC53" s="122">
        <v>1.4577464788732395</v>
      </c>
      <c r="AD53" s="123" t="s">
        <v>106</v>
      </c>
    </row>
    <row r="54" spans="1:30" ht="22.5" x14ac:dyDescent="0.25">
      <c r="A54" s="108">
        <v>38</v>
      </c>
      <c r="B54" s="109" t="s">
        <v>210</v>
      </c>
      <c r="C54" s="110">
        <v>70</v>
      </c>
      <c r="D54" s="111">
        <v>79</v>
      </c>
      <c r="E54" s="111">
        <v>94</v>
      </c>
      <c r="F54" s="111">
        <v>65</v>
      </c>
      <c r="G54" s="112">
        <v>308</v>
      </c>
      <c r="H54" s="113">
        <v>36053.515340000005</v>
      </c>
      <c r="I54" s="113">
        <v>36001.876779999999</v>
      </c>
      <c r="J54" s="114">
        <v>51.638560000006692</v>
      </c>
      <c r="K54" s="114">
        <v>51.545930000000631</v>
      </c>
      <c r="L54" s="115">
        <v>9.2630000006060698E-2</v>
      </c>
      <c r="M54" s="111">
        <v>0</v>
      </c>
      <c r="N54" s="116">
        <v>0</v>
      </c>
      <c r="O54" s="117">
        <v>0</v>
      </c>
      <c r="P54" s="118">
        <v>0</v>
      </c>
      <c r="Q54" s="116">
        <v>0</v>
      </c>
      <c r="R54" s="119">
        <v>11468.730580000001</v>
      </c>
      <c r="S54" s="117">
        <v>8177.7153999999982</v>
      </c>
      <c r="T54" s="120">
        <v>40.2436991143028</v>
      </c>
      <c r="U54" s="121">
        <v>0</v>
      </c>
      <c r="V54" s="119">
        <v>430.27787999999998</v>
      </c>
      <c r="W54" s="119">
        <v>342.21440000000001</v>
      </c>
      <c r="X54" s="120">
        <v>-20.466652852338115</v>
      </c>
      <c r="Y54" s="121">
        <v>5</v>
      </c>
      <c r="Z54" s="121">
        <v>5</v>
      </c>
      <c r="AA54" s="121">
        <v>10</v>
      </c>
      <c r="AB54" s="112">
        <v>97</v>
      </c>
      <c r="AC54" s="122">
        <v>1.3661971830985915</v>
      </c>
      <c r="AD54" s="123" t="s">
        <v>108</v>
      </c>
    </row>
    <row r="55" spans="1:30" ht="22.5" x14ac:dyDescent="0.25">
      <c r="A55" s="108">
        <v>39</v>
      </c>
      <c r="B55" s="109" t="s">
        <v>211</v>
      </c>
      <c r="C55" s="110">
        <v>80</v>
      </c>
      <c r="D55" s="111">
        <v>95</v>
      </c>
      <c r="E55" s="111">
        <v>93</v>
      </c>
      <c r="F55" s="111">
        <v>65</v>
      </c>
      <c r="G55" s="112">
        <v>333</v>
      </c>
      <c r="H55" s="113">
        <v>45129.43778</v>
      </c>
      <c r="I55" s="113">
        <v>45079.952960000002</v>
      </c>
      <c r="J55" s="114">
        <v>49.484819999997853</v>
      </c>
      <c r="K55" s="114">
        <v>49.369169999999926</v>
      </c>
      <c r="L55" s="115">
        <v>0.11564999999792747</v>
      </c>
      <c r="M55" s="111">
        <v>0</v>
      </c>
      <c r="N55" s="116">
        <v>0</v>
      </c>
      <c r="O55" s="117">
        <v>0</v>
      </c>
      <c r="P55" s="118">
        <v>0</v>
      </c>
      <c r="Q55" s="116">
        <v>0</v>
      </c>
      <c r="R55" s="119">
        <v>13030.340960000001</v>
      </c>
      <c r="S55" s="117">
        <v>10683.204</v>
      </c>
      <c r="T55" s="120">
        <v>21.97034672369826</v>
      </c>
      <c r="U55" s="121">
        <v>10</v>
      </c>
      <c r="V55" s="119">
        <v>1241.8113999999998</v>
      </c>
      <c r="W55" s="119">
        <v>879.27969999999993</v>
      </c>
      <c r="X55" s="120">
        <v>-29.193780955787645</v>
      </c>
      <c r="Y55" s="121">
        <v>5</v>
      </c>
      <c r="Z55" s="121">
        <v>5</v>
      </c>
      <c r="AA55" s="121">
        <v>10</v>
      </c>
      <c r="AB55" s="112">
        <v>113.25</v>
      </c>
      <c r="AC55" s="122">
        <v>1.5950704225352113</v>
      </c>
      <c r="AD55" s="123" t="s">
        <v>106</v>
      </c>
    </row>
    <row r="56" spans="1:30" ht="22.5" x14ac:dyDescent="0.25">
      <c r="A56" s="108">
        <v>40</v>
      </c>
      <c r="B56" s="109" t="s">
        <v>212</v>
      </c>
      <c r="C56" s="110">
        <v>80</v>
      </c>
      <c r="D56" s="111">
        <v>70</v>
      </c>
      <c r="E56" s="111">
        <v>94</v>
      </c>
      <c r="F56" s="111">
        <v>65</v>
      </c>
      <c r="G56" s="112">
        <v>309</v>
      </c>
      <c r="H56" s="113">
        <v>15826.9049</v>
      </c>
      <c r="I56" s="113">
        <v>15808.056269999999</v>
      </c>
      <c r="J56" s="114">
        <v>18.848630000000412</v>
      </c>
      <c r="K56" s="114">
        <v>18.84862999999989</v>
      </c>
      <c r="L56" s="115">
        <v>5.2224891078367364E-13</v>
      </c>
      <c r="M56" s="111">
        <v>0</v>
      </c>
      <c r="N56" s="116">
        <v>0</v>
      </c>
      <c r="O56" s="117">
        <v>0</v>
      </c>
      <c r="P56" s="118">
        <v>0</v>
      </c>
      <c r="Q56" s="116">
        <v>0</v>
      </c>
      <c r="R56" s="119">
        <v>4465.3262699999996</v>
      </c>
      <c r="S56" s="117">
        <v>3780.91</v>
      </c>
      <c r="T56" s="120">
        <v>18.101892666051285</v>
      </c>
      <c r="U56" s="121">
        <v>10</v>
      </c>
      <c r="V56" s="119">
        <v>22.434060000000002</v>
      </c>
      <c r="W56" s="119">
        <v>6.0853700000000002</v>
      </c>
      <c r="X56" s="120">
        <v>-72.874415063523941</v>
      </c>
      <c r="Y56" s="121">
        <v>5</v>
      </c>
      <c r="Z56" s="121">
        <v>5</v>
      </c>
      <c r="AA56" s="121">
        <v>10</v>
      </c>
      <c r="AB56" s="112">
        <v>107.25</v>
      </c>
      <c r="AC56" s="122">
        <v>1.5105633802816902</v>
      </c>
      <c r="AD56" s="123" t="s">
        <v>106</v>
      </c>
    </row>
    <row r="57" spans="1:30" ht="22.5" x14ac:dyDescent="0.25">
      <c r="A57" s="108">
        <v>41</v>
      </c>
      <c r="B57" s="125" t="s">
        <v>213</v>
      </c>
      <c r="C57" s="110">
        <v>70</v>
      </c>
      <c r="D57" s="111">
        <v>79</v>
      </c>
      <c r="E57" s="111">
        <v>94</v>
      </c>
      <c r="F57" s="111">
        <v>65</v>
      </c>
      <c r="G57" s="112">
        <v>308</v>
      </c>
      <c r="H57" s="113">
        <v>40479.969210000003</v>
      </c>
      <c r="I57" s="113">
        <v>40372.405719999995</v>
      </c>
      <c r="J57" s="114">
        <v>107.56349000000773</v>
      </c>
      <c r="K57" s="114">
        <v>51.889510000000705</v>
      </c>
      <c r="L57" s="115">
        <v>55.673980000007028</v>
      </c>
      <c r="M57" s="111">
        <v>0</v>
      </c>
      <c r="N57" s="116">
        <v>0</v>
      </c>
      <c r="O57" s="117">
        <v>14.461549999999999</v>
      </c>
      <c r="P57" s="118">
        <v>0</v>
      </c>
      <c r="Q57" s="116">
        <v>0</v>
      </c>
      <c r="R57" s="119">
        <v>11738.235719999999</v>
      </c>
      <c r="S57" s="117">
        <v>9544.7233333333334</v>
      </c>
      <c r="T57" s="120">
        <v>22.981414023874262</v>
      </c>
      <c r="U57" s="121">
        <v>10</v>
      </c>
      <c r="V57" s="119">
        <v>678.83011999999997</v>
      </c>
      <c r="W57" s="119">
        <v>673.86536000000001</v>
      </c>
      <c r="X57" s="120">
        <v>-0.7313700222965881</v>
      </c>
      <c r="Y57" s="121">
        <v>5</v>
      </c>
      <c r="Z57" s="121">
        <v>5</v>
      </c>
      <c r="AA57" s="121">
        <v>10</v>
      </c>
      <c r="AB57" s="112">
        <v>107</v>
      </c>
      <c r="AC57" s="122">
        <v>1.5070422535211268</v>
      </c>
      <c r="AD57" s="123" t="s">
        <v>106</v>
      </c>
    </row>
    <row r="58" spans="1:30" ht="22.5" x14ac:dyDescent="0.25">
      <c r="A58" s="108">
        <v>42</v>
      </c>
      <c r="B58" s="109" t="s">
        <v>214</v>
      </c>
      <c r="C58" s="110">
        <v>70</v>
      </c>
      <c r="D58" s="111">
        <v>65</v>
      </c>
      <c r="E58" s="111">
        <v>94</v>
      </c>
      <c r="F58" s="111">
        <v>65</v>
      </c>
      <c r="G58" s="112">
        <v>294</v>
      </c>
      <c r="H58" s="113">
        <v>19568.664399999998</v>
      </c>
      <c r="I58" s="113">
        <v>19543.477739999998</v>
      </c>
      <c r="J58" s="114">
        <v>25.186659999999392</v>
      </c>
      <c r="K58" s="114">
        <v>0</v>
      </c>
      <c r="L58" s="115">
        <v>25.186659999999392</v>
      </c>
      <c r="M58" s="111">
        <v>0</v>
      </c>
      <c r="N58" s="116">
        <v>0</v>
      </c>
      <c r="O58" s="117">
        <v>0</v>
      </c>
      <c r="P58" s="118">
        <v>0</v>
      </c>
      <c r="Q58" s="116">
        <v>0</v>
      </c>
      <c r="R58" s="119">
        <v>5335.5977399999983</v>
      </c>
      <c r="S58" s="117">
        <v>4735.96</v>
      </c>
      <c r="T58" s="120">
        <v>12.661376785276868</v>
      </c>
      <c r="U58" s="121">
        <v>10</v>
      </c>
      <c r="V58" s="119">
        <v>731.76288999999997</v>
      </c>
      <c r="W58" s="119">
        <v>866.73759999999993</v>
      </c>
      <c r="X58" s="120">
        <v>18.445142797552901</v>
      </c>
      <c r="Y58" s="121">
        <v>0</v>
      </c>
      <c r="Z58" s="121">
        <v>5</v>
      </c>
      <c r="AA58" s="121">
        <v>10</v>
      </c>
      <c r="AB58" s="112">
        <v>98.5</v>
      </c>
      <c r="AC58" s="122">
        <v>1.3873239436619718</v>
      </c>
      <c r="AD58" s="123" t="s">
        <v>108</v>
      </c>
    </row>
    <row r="59" spans="1:30" ht="22.5" x14ac:dyDescent="0.25">
      <c r="A59" s="108">
        <v>43</v>
      </c>
      <c r="B59" s="109" t="s">
        <v>215</v>
      </c>
      <c r="C59" s="110">
        <v>70</v>
      </c>
      <c r="D59" s="111">
        <v>94</v>
      </c>
      <c r="E59" s="111">
        <v>95</v>
      </c>
      <c r="F59" s="111">
        <v>65</v>
      </c>
      <c r="G59" s="112">
        <v>324</v>
      </c>
      <c r="H59" s="113">
        <v>17815.5517</v>
      </c>
      <c r="I59" s="113">
        <v>17808.661690000001</v>
      </c>
      <c r="J59" s="114">
        <v>6.8900099999991653</v>
      </c>
      <c r="K59" s="114">
        <v>6.8900099999997764</v>
      </c>
      <c r="L59" s="115">
        <v>-6.1106675275368616E-13</v>
      </c>
      <c r="M59" s="111">
        <v>0</v>
      </c>
      <c r="N59" s="116">
        <v>0</v>
      </c>
      <c r="O59" s="117">
        <v>0</v>
      </c>
      <c r="P59" s="118">
        <v>0</v>
      </c>
      <c r="Q59" s="116">
        <v>0</v>
      </c>
      <c r="R59" s="119">
        <v>4960.0316900000016</v>
      </c>
      <c r="S59" s="117">
        <v>4282.8766666666661</v>
      </c>
      <c r="T59" s="120">
        <v>15.810752352585503</v>
      </c>
      <c r="U59" s="121">
        <v>10</v>
      </c>
      <c r="V59" s="119">
        <v>0</v>
      </c>
      <c r="W59" s="119">
        <v>0</v>
      </c>
      <c r="X59" s="120">
        <v>0</v>
      </c>
      <c r="Y59" s="121">
        <v>5</v>
      </c>
      <c r="Z59" s="121">
        <v>5</v>
      </c>
      <c r="AA59" s="121">
        <v>10</v>
      </c>
      <c r="AB59" s="112">
        <v>111</v>
      </c>
      <c r="AC59" s="122">
        <v>1.5633802816901408</v>
      </c>
      <c r="AD59" s="123" t="s">
        <v>106</v>
      </c>
    </row>
    <row r="60" spans="1:30" ht="22.5" x14ac:dyDescent="0.25">
      <c r="A60" s="126">
        <v>44</v>
      </c>
      <c r="B60" s="127" t="s">
        <v>216</v>
      </c>
      <c r="C60" s="128">
        <v>70</v>
      </c>
      <c r="D60" s="118">
        <v>70</v>
      </c>
      <c r="E60" s="118">
        <v>77</v>
      </c>
      <c r="F60" s="118">
        <v>65</v>
      </c>
      <c r="G60" s="121">
        <v>282</v>
      </c>
      <c r="H60" s="117">
        <v>18993.106399999997</v>
      </c>
      <c r="I60" s="117">
        <v>18991.659399999997</v>
      </c>
      <c r="J60" s="129">
        <v>1.4470000000001164</v>
      </c>
      <c r="K60" s="129">
        <v>0</v>
      </c>
      <c r="L60" s="120">
        <v>1.4470000000001164</v>
      </c>
      <c r="M60" s="118">
        <v>0</v>
      </c>
      <c r="N60" s="116">
        <v>0</v>
      </c>
      <c r="O60" s="117">
        <v>0</v>
      </c>
      <c r="P60" s="118">
        <v>0</v>
      </c>
      <c r="Q60" s="116">
        <v>0</v>
      </c>
      <c r="R60" s="119">
        <v>5768.2740699999986</v>
      </c>
      <c r="S60" s="117">
        <v>4407.7951099999991</v>
      </c>
      <c r="T60" s="120">
        <v>30.865294916124171</v>
      </c>
      <c r="U60" s="121">
        <v>0</v>
      </c>
      <c r="V60" s="119">
        <v>353.82</v>
      </c>
      <c r="W60" s="119">
        <v>410.33499999999998</v>
      </c>
      <c r="X60" s="120">
        <v>15.972811033859022</v>
      </c>
      <c r="Y60" s="121">
        <v>0</v>
      </c>
      <c r="Z60" s="121">
        <v>5</v>
      </c>
      <c r="AA60" s="121">
        <v>10</v>
      </c>
      <c r="AB60" s="121">
        <v>85.5</v>
      </c>
      <c r="AC60" s="130">
        <v>1.204225352112676</v>
      </c>
      <c r="AD60" s="131" t="s">
        <v>104</v>
      </c>
    </row>
    <row r="61" spans="1:30" ht="22.5" x14ac:dyDescent="0.25">
      <c r="A61" s="108">
        <v>45</v>
      </c>
      <c r="B61" s="109" t="s">
        <v>217</v>
      </c>
      <c r="C61" s="110">
        <v>70</v>
      </c>
      <c r="D61" s="111">
        <v>94</v>
      </c>
      <c r="E61" s="111">
        <v>94</v>
      </c>
      <c r="F61" s="111">
        <v>65</v>
      </c>
      <c r="G61" s="112">
        <v>323</v>
      </c>
      <c r="H61" s="113">
        <v>20699.014800000001</v>
      </c>
      <c r="I61" s="113">
        <v>20637.02131</v>
      </c>
      <c r="J61" s="114">
        <v>61.993490000000747</v>
      </c>
      <c r="K61" s="114">
        <v>12.401249999999999</v>
      </c>
      <c r="L61" s="115">
        <v>49.59224000000075</v>
      </c>
      <c r="M61" s="111">
        <v>0</v>
      </c>
      <c r="N61" s="116">
        <v>0</v>
      </c>
      <c r="O61" s="117">
        <v>0.35399999999999998</v>
      </c>
      <c r="P61" s="118">
        <v>0</v>
      </c>
      <c r="Q61" s="116">
        <v>0</v>
      </c>
      <c r="R61" s="119">
        <v>5761.5913099999989</v>
      </c>
      <c r="S61" s="117">
        <v>4958.4766666666665</v>
      </c>
      <c r="T61" s="120">
        <v>16.196801907575093</v>
      </c>
      <c r="U61" s="121">
        <v>10</v>
      </c>
      <c r="V61" s="119">
        <v>47.597519999999996</v>
      </c>
      <c r="W61" s="119">
        <v>29.790569999999999</v>
      </c>
      <c r="X61" s="120">
        <v>-37.411507994534162</v>
      </c>
      <c r="Y61" s="121">
        <v>5</v>
      </c>
      <c r="Z61" s="121">
        <v>5</v>
      </c>
      <c r="AA61" s="121">
        <v>10</v>
      </c>
      <c r="AB61" s="112">
        <v>110.75</v>
      </c>
      <c r="AC61" s="122">
        <v>1.5598591549295775</v>
      </c>
      <c r="AD61" s="123" t="s">
        <v>106</v>
      </c>
    </row>
    <row r="62" spans="1:30" ht="22.5" x14ac:dyDescent="0.25">
      <c r="A62" s="108">
        <v>46</v>
      </c>
      <c r="B62" s="109" t="s">
        <v>218</v>
      </c>
      <c r="C62" s="110">
        <v>70</v>
      </c>
      <c r="D62" s="111">
        <v>79</v>
      </c>
      <c r="E62" s="111">
        <v>86</v>
      </c>
      <c r="F62" s="111">
        <v>65</v>
      </c>
      <c r="G62" s="112">
        <v>300</v>
      </c>
      <c r="H62" s="113">
        <v>21258.9015</v>
      </c>
      <c r="I62" s="113">
        <v>21077.191269999999</v>
      </c>
      <c r="J62" s="114">
        <v>181.71023000000059</v>
      </c>
      <c r="K62" s="114">
        <v>88.659479999999988</v>
      </c>
      <c r="L62" s="115">
        <v>93.050750000000605</v>
      </c>
      <c r="M62" s="111">
        <v>0</v>
      </c>
      <c r="N62" s="116">
        <v>0</v>
      </c>
      <c r="O62" s="117">
        <v>4.3924099999999999</v>
      </c>
      <c r="P62" s="118">
        <v>0</v>
      </c>
      <c r="Q62" s="116">
        <v>0</v>
      </c>
      <c r="R62" s="119">
        <v>4588.3612699999994</v>
      </c>
      <c r="S62" s="117">
        <v>5496.2766666666676</v>
      </c>
      <c r="T62" s="120">
        <v>-16.518735349930854</v>
      </c>
      <c r="U62" s="121">
        <v>10</v>
      </c>
      <c r="V62" s="119">
        <v>133.48158999999998</v>
      </c>
      <c r="W62" s="119">
        <v>161.84954000000002</v>
      </c>
      <c r="X62" s="120">
        <v>21.252331501295451</v>
      </c>
      <c r="Y62" s="121">
        <v>0</v>
      </c>
      <c r="Z62" s="121">
        <v>5</v>
      </c>
      <c r="AA62" s="121">
        <v>10</v>
      </c>
      <c r="AB62" s="112">
        <v>100</v>
      </c>
      <c r="AC62" s="122">
        <v>1.408450704225352</v>
      </c>
      <c r="AD62" s="123" t="s">
        <v>108</v>
      </c>
    </row>
    <row r="63" spans="1:30" ht="33.75" x14ac:dyDescent="0.25">
      <c r="A63" s="126">
        <v>47</v>
      </c>
      <c r="B63" s="132" t="s">
        <v>219</v>
      </c>
      <c r="C63" s="128">
        <v>65</v>
      </c>
      <c r="D63" s="118">
        <v>64</v>
      </c>
      <c r="E63" s="118">
        <v>75</v>
      </c>
      <c r="F63" s="118">
        <v>65</v>
      </c>
      <c r="G63" s="121">
        <v>269</v>
      </c>
      <c r="H63" s="117">
        <v>14312.25122</v>
      </c>
      <c r="I63" s="117">
        <v>14027.49316</v>
      </c>
      <c r="J63" s="129">
        <v>284.75806000000011</v>
      </c>
      <c r="K63" s="129">
        <v>29.246560000000056</v>
      </c>
      <c r="L63" s="120">
        <v>255.51150000000007</v>
      </c>
      <c r="M63" s="118">
        <v>2</v>
      </c>
      <c r="N63" s="116">
        <v>2</v>
      </c>
      <c r="O63" s="117">
        <v>7.1999999999999995E-2</v>
      </c>
      <c r="P63" s="118">
        <v>0</v>
      </c>
      <c r="Q63" s="116">
        <v>0</v>
      </c>
      <c r="R63" s="119">
        <v>5870.676089999999</v>
      </c>
      <c r="S63" s="117">
        <v>2718.9390233333338</v>
      </c>
      <c r="T63" s="120">
        <v>115.91790178518733</v>
      </c>
      <c r="U63" s="121">
        <v>0</v>
      </c>
      <c r="V63" s="119">
        <v>702.94709</v>
      </c>
      <c r="W63" s="119">
        <v>950.66331000000002</v>
      </c>
      <c r="X63" s="120">
        <v>35.239667895915183</v>
      </c>
      <c r="Y63" s="121">
        <v>0</v>
      </c>
      <c r="Z63" s="121">
        <v>5</v>
      </c>
      <c r="AA63" s="121">
        <v>10</v>
      </c>
      <c r="AB63" s="121">
        <v>80.25</v>
      </c>
      <c r="AC63" s="130">
        <v>1.130281690140845</v>
      </c>
      <c r="AD63" s="131" t="s">
        <v>104</v>
      </c>
    </row>
    <row r="64" spans="1:30" ht="22.5" x14ac:dyDescent="0.25">
      <c r="A64" s="108">
        <v>48</v>
      </c>
      <c r="B64" s="109" t="s">
        <v>220</v>
      </c>
      <c r="C64" s="110">
        <v>80</v>
      </c>
      <c r="D64" s="111">
        <v>79</v>
      </c>
      <c r="E64" s="111">
        <v>93</v>
      </c>
      <c r="F64" s="111">
        <v>65</v>
      </c>
      <c r="G64" s="112">
        <v>317</v>
      </c>
      <c r="H64" s="113">
        <v>11465.926150000001</v>
      </c>
      <c r="I64" s="113">
        <v>11447.127990000001</v>
      </c>
      <c r="J64" s="114">
        <v>18.79816000000028</v>
      </c>
      <c r="K64" s="114">
        <v>13.504820000000064</v>
      </c>
      <c r="L64" s="115">
        <v>5.2933400000002155</v>
      </c>
      <c r="M64" s="111">
        <v>0</v>
      </c>
      <c r="N64" s="116">
        <v>0</v>
      </c>
      <c r="O64" s="117">
        <v>0.16263999999999998</v>
      </c>
      <c r="P64" s="118">
        <v>0</v>
      </c>
      <c r="Q64" s="116">
        <v>0</v>
      </c>
      <c r="R64" s="119">
        <v>3794.79799</v>
      </c>
      <c r="S64" s="117">
        <v>2550.7766666666671</v>
      </c>
      <c r="T64" s="120">
        <v>48.770295713854452</v>
      </c>
      <c r="U64" s="121">
        <v>0</v>
      </c>
      <c r="V64" s="119">
        <v>153.73069000000001</v>
      </c>
      <c r="W64" s="119">
        <v>150.64482999999998</v>
      </c>
      <c r="X64" s="120">
        <v>-2.0073155204078152</v>
      </c>
      <c r="Y64" s="121">
        <v>5</v>
      </c>
      <c r="Z64" s="121">
        <v>5</v>
      </c>
      <c r="AA64" s="121">
        <v>10</v>
      </c>
      <c r="AB64" s="112">
        <v>99.25</v>
      </c>
      <c r="AC64" s="122">
        <v>1.397887323943662</v>
      </c>
      <c r="AD64" s="123" t="s">
        <v>108</v>
      </c>
    </row>
    <row r="65" spans="1:30" ht="22.5" x14ac:dyDescent="0.25">
      <c r="A65" s="108">
        <v>49</v>
      </c>
      <c r="B65" s="109" t="s">
        <v>221</v>
      </c>
      <c r="C65" s="110">
        <v>70</v>
      </c>
      <c r="D65" s="111">
        <v>78</v>
      </c>
      <c r="E65" s="111">
        <v>95</v>
      </c>
      <c r="F65" s="111">
        <v>65</v>
      </c>
      <c r="G65" s="112">
        <v>308</v>
      </c>
      <c r="H65" s="113">
        <v>12036.75844</v>
      </c>
      <c r="I65" s="113">
        <v>12015.443740000001</v>
      </c>
      <c r="J65" s="114">
        <v>21.314699999998993</v>
      </c>
      <c r="K65" s="114">
        <v>6.6896000000000928</v>
      </c>
      <c r="L65" s="115">
        <v>14.6250999999989</v>
      </c>
      <c r="M65" s="111">
        <v>0</v>
      </c>
      <c r="N65" s="116">
        <v>0</v>
      </c>
      <c r="O65" s="117">
        <v>0</v>
      </c>
      <c r="P65" s="118">
        <v>0</v>
      </c>
      <c r="Q65" s="116">
        <v>0</v>
      </c>
      <c r="R65" s="119">
        <v>3938.4537400000004</v>
      </c>
      <c r="S65" s="117">
        <v>2692.33</v>
      </c>
      <c r="T65" s="120">
        <v>46.284212559381672</v>
      </c>
      <c r="U65" s="121">
        <v>0</v>
      </c>
      <c r="V65" s="119">
        <v>72.907889999999995</v>
      </c>
      <c r="W65" s="119">
        <v>37.348210000000002</v>
      </c>
      <c r="X65" s="120">
        <v>-48.773431791812925</v>
      </c>
      <c r="Y65" s="121">
        <v>5</v>
      </c>
      <c r="Z65" s="121">
        <v>5</v>
      </c>
      <c r="AA65" s="121">
        <v>10</v>
      </c>
      <c r="AB65" s="112">
        <v>97</v>
      </c>
      <c r="AC65" s="122">
        <v>1.3661971830985915</v>
      </c>
      <c r="AD65" s="123" t="s">
        <v>108</v>
      </c>
    </row>
    <row r="66" spans="1:30" ht="22.5" x14ac:dyDescent="0.25">
      <c r="A66" s="108">
        <v>50</v>
      </c>
      <c r="B66" s="109" t="s">
        <v>222</v>
      </c>
      <c r="C66" s="110">
        <v>80</v>
      </c>
      <c r="D66" s="111">
        <v>80</v>
      </c>
      <c r="E66" s="111">
        <v>94</v>
      </c>
      <c r="F66" s="111">
        <v>65</v>
      </c>
      <c r="G66" s="112">
        <v>319</v>
      </c>
      <c r="H66" s="113">
        <v>42147.746500000001</v>
      </c>
      <c r="I66" s="113">
        <v>41690.462630000002</v>
      </c>
      <c r="J66" s="114">
        <v>457.2838699999993</v>
      </c>
      <c r="K66" s="114">
        <v>283.40658000000008</v>
      </c>
      <c r="L66" s="115">
        <v>173.87728999999922</v>
      </c>
      <c r="M66" s="111">
        <v>0</v>
      </c>
      <c r="N66" s="116">
        <v>0</v>
      </c>
      <c r="O66" s="117">
        <v>0</v>
      </c>
      <c r="P66" s="118">
        <v>0</v>
      </c>
      <c r="Q66" s="116">
        <v>0</v>
      </c>
      <c r="R66" s="119">
        <v>12674.674610000004</v>
      </c>
      <c r="S66" s="117">
        <v>9671.9293400000006</v>
      </c>
      <c r="T66" s="120">
        <v>31.045980222183911</v>
      </c>
      <c r="U66" s="121">
        <v>0</v>
      </c>
      <c r="V66" s="119">
        <v>558.35613000000001</v>
      </c>
      <c r="W66" s="119">
        <v>565.25161000000003</v>
      </c>
      <c r="X66" s="120">
        <v>1.2349609200135441</v>
      </c>
      <c r="Y66" s="121">
        <v>5</v>
      </c>
      <c r="Z66" s="121">
        <v>5</v>
      </c>
      <c r="AA66" s="121">
        <v>10</v>
      </c>
      <c r="AB66" s="112">
        <v>99.75</v>
      </c>
      <c r="AC66" s="122">
        <v>1.4049295774647887</v>
      </c>
      <c r="AD66" s="123" t="s">
        <v>108</v>
      </c>
    </row>
    <row r="67" spans="1:30" ht="33.75" x14ac:dyDescent="0.25">
      <c r="A67" s="108">
        <v>51</v>
      </c>
      <c r="B67" s="109" t="s">
        <v>223</v>
      </c>
      <c r="C67" s="110">
        <v>65</v>
      </c>
      <c r="D67" s="111">
        <v>80</v>
      </c>
      <c r="E67" s="111">
        <v>95</v>
      </c>
      <c r="F67" s="111">
        <v>65</v>
      </c>
      <c r="G67" s="112">
        <v>305</v>
      </c>
      <c r="H67" s="113">
        <v>10403.837619999998</v>
      </c>
      <c r="I67" s="113">
        <v>10402.61601</v>
      </c>
      <c r="J67" s="114">
        <v>1.2216099999986909</v>
      </c>
      <c r="K67" s="114">
        <v>0</v>
      </c>
      <c r="L67" s="115">
        <v>1.2216099999986909</v>
      </c>
      <c r="M67" s="111">
        <v>0</v>
      </c>
      <c r="N67" s="116">
        <v>0</v>
      </c>
      <c r="O67" s="117">
        <v>0</v>
      </c>
      <c r="P67" s="118">
        <v>0</v>
      </c>
      <c r="Q67" s="116">
        <v>0</v>
      </c>
      <c r="R67" s="119">
        <v>2953.0981699999998</v>
      </c>
      <c r="S67" s="117">
        <v>2483.1726133333336</v>
      </c>
      <c r="T67" s="120">
        <v>18.924401555631391</v>
      </c>
      <c r="U67" s="121">
        <v>10</v>
      </c>
      <c r="V67" s="119">
        <v>0</v>
      </c>
      <c r="W67" s="119">
        <v>0</v>
      </c>
      <c r="X67" s="120">
        <v>0</v>
      </c>
      <c r="Y67" s="121">
        <v>5</v>
      </c>
      <c r="Z67" s="121">
        <v>5</v>
      </c>
      <c r="AA67" s="121">
        <v>10</v>
      </c>
      <c r="AB67" s="112">
        <v>106.25</v>
      </c>
      <c r="AC67" s="122">
        <v>1.4964788732394365</v>
      </c>
      <c r="AD67" s="123" t="s">
        <v>106</v>
      </c>
    </row>
    <row r="68" spans="1:30" ht="22.5" x14ac:dyDescent="0.25">
      <c r="A68" s="108">
        <v>52</v>
      </c>
      <c r="B68" s="109" t="s">
        <v>224</v>
      </c>
      <c r="C68" s="110">
        <v>70</v>
      </c>
      <c r="D68" s="111">
        <v>80</v>
      </c>
      <c r="E68" s="111">
        <v>92</v>
      </c>
      <c r="F68" s="111">
        <v>65</v>
      </c>
      <c r="G68" s="112">
        <v>307</v>
      </c>
      <c r="H68" s="113">
        <v>37975.27536</v>
      </c>
      <c r="I68" s="113">
        <v>37891.333380000004</v>
      </c>
      <c r="J68" s="114">
        <v>83.941979999995965</v>
      </c>
      <c r="K68" s="114">
        <v>52.1193200000003</v>
      </c>
      <c r="L68" s="115">
        <v>31.822659999995665</v>
      </c>
      <c r="M68" s="111">
        <v>0</v>
      </c>
      <c r="N68" s="116">
        <v>0</v>
      </c>
      <c r="O68" s="117">
        <v>0</v>
      </c>
      <c r="P68" s="118">
        <v>0</v>
      </c>
      <c r="Q68" s="116">
        <v>0</v>
      </c>
      <c r="R68" s="119">
        <v>11367.733380000003</v>
      </c>
      <c r="S68" s="117">
        <v>8841.1999999999989</v>
      </c>
      <c r="T68" s="120">
        <v>28.576815138216581</v>
      </c>
      <c r="U68" s="121">
        <v>0</v>
      </c>
      <c r="V68" s="119">
        <v>976.51215999999999</v>
      </c>
      <c r="W68" s="119">
        <v>1059.60151</v>
      </c>
      <c r="X68" s="120">
        <v>8.508788052367926</v>
      </c>
      <c r="Y68" s="121">
        <v>0</v>
      </c>
      <c r="Z68" s="121">
        <v>5</v>
      </c>
      <c r="AA68" s="121">
        <v>10</v>
      </c>
      <c r="AB68" s="112">
        <v>91.75</v>
      </c>
      <c r="AC68" s="122">
        <v>1.2922535211267605</v>
      </c>
      <c r="AD68" s="123" t="s">
        <v>107</v>
      </c>
    </row>
    <row r="69" spans="1:30" ht="22.5" x14ac:dyDescent="0.25">
      <c r="A69" s="108">
        <v>53</v>
      </c>
      <c r="B69" s="109" t="s">
        <v>225</v>
      </c>
      <c r="C69" s="110">
        <v>80</v>
      </c>
      <c r="D69" s="111">
        <v>79</v>
      </c>
      <c r="E69" s="111">
        <v>94</v>
      </c>
      <c r="F69" s="111">
        <v>65</v>
      </c>
      <c r="G69" s="112">
        <v>318</v>
      </c>
      <c r="H69" s="113">
        <v>41467.463380000001</v>
      </c>
      <c r="I69" s="113">
        <v>41431.811179999997</v>
      </c>
      <c r="J69" s="114">
        <v>35.652200000004086</v>
      </c>
      <c r="K69" s="114">
        <v>32.909889999999663</v>
      </c>
      <c r="L69" s="115">
        <v>2.7423100000044229</v>
      </c>
      <c r="M69" s="111">
        <v>0</v>
      </c>
      <c r="N69" s="116">
        <v>0</v>
      </c>
      <c r="O69" s="117">
        <v>2.2628600000000003</v>
      </c>
      <c r="P69" s="118">
        <v>0</v>
      </c>
      <c r="Q69" s="116">
        <v>0</v>
      </c>
      <c r="R69" s="119">
        <v>12919.22118</v>
      </c>
      <c r="S69" s="117">
        <v>9504.1966666666649</v>
      </c>
      <c r="T69" s="120">
        <v>35.931753446459993</v>
      </c>
      <c r="U69" s="121">
        <v>0</v>
      </c>
      <c r="V69" s="119">
        <v>1090.82466</v>
      </c>
      <c r="W69" s="119">
        <v>771.17822000000001</v>
      </c>
      <c r="X69" s="120">
        <v>-29.303191587179555</v>
      </c>
      <c r="Y69" s="121">
        <v>5</v>
      </c>
      <c r="Z69" s="121">
        <v>5</v>
      </c>
      <c r="AA69" s="121">
        <v>10</v>
      </c>
      <c r="AB69" s="112">
        <v>99.5</v>
      </c>
      <c r="AC69" s="122">
        <v>1.4014084507042253</v>
      </c>
      <c r="AD69" s="123" t="s">
        <v>108</v>
      </c>
    </row>
    <row r="70" spans="1:30" ht="22.5" x14ac:dyDescent="0.25">
      <c r="A70" s="108">
        <v>54</v>
      </c>
      <c r="B70" s="125" t="s">
        <v>226</v>
      </c>
      <c r="C70" s="110">
        <v>80</v>
      </c>
      <c r="D70" s="111">
        <v>80</v>
      </c>
      <c r="E70" s="111">
        <v>94</v>
      </c>
      <c r="F70" s="111">
        <v>65</v>
      </c>
      <c r="G70" s="112">
        <v>319</v>
      </c>
      <c r="H70" s="113">
        <v>14366.2315</v>
      </c>
      <c r="I70" s="113">
        <v>14322.94659</v>
      </c>
      <c r="J70" s="114">
        <v>43.284910000000309</v>
      </c>
      <c r="K70" s="114">
        <v>4.2473100000000557</v>
      </c>
      <c r="L70" s="115">
        <v>39.037600000000253</v>
      </c>
      <c r="M70" s="111">
        <v>0</v>
      </c>
      <c r="N70" s="116">
        <v>0</v>
      </c>
      <c r="O70" s="117">
        <v>0</v>
      </c>
      <c r="P70" s="118">
        <v>0</v>
      </c>
      <c r="Q70" s="116">
        <v>0</v>
      </c>
      <c r="R70" s="119">
        <v>4236.6798399999998</v>
      </c>
      <c r="S70" s="117">
        <v>3362.0889166666661</v>
      </c>
      <c r="T70" s="120">
        <v>26.013319249166212</v>
      </c>
      <c r="U70" s="121">
        <v>0</v>
      </c>
      <c r="V70" s="119">
        <v>146.33937</v>
      </c>
      <c r="W70" s="119">
        <v>73.410719999999998</v>
      </c>
      <c r="X70" s="120">
        <v>-49.835290393829084</v>
      </c>
      <c r="Y70" s="121">
        <v>5</v>
      </c>
      <c r="Z70" s="121">
        <v>5</v>
      </c>
      <c r="AA70" s="121">
        <v>10</v>
      </c>
      <c r="AB70" s="112">
        <v>99.75</v>
      </c>
      <c r="AC70" s="122">
        <v>1.4049295774647887</v>
      </c>
      <c r="AD70" s="123" t="s">
        <v>108</v>
      </c>
    </row>
    <row r="71" spans="1:30" ht="22.5" x14ac:dyDescent="0.25">
      <c r="A71" s="108">
        <v>55</v>
      </c>
      <c r="B71" s="125" t="s">
        <v>227</v>
      </c>
      <c r="C71" s="110">
        <v>80</v>
      </c>
      <c r="D71" s="111">
        <v>94</v>
      </c>
      <c r="E71" s="111">
        <v>95</v>
      </c>
      <c r="F71" s="111">
        <v>65</v>
      </c>
      <c r="G71" s="112">
        <v>334</v>
      </c>
      <c r="H71" s="113">
        <v>39858.634439999994</v>
      </c>
      <c r="I71" s="113">
        <v>39798.898439999997</v>
      </c>
      <c r="J71" s="114">
        <v>59.735999999997148</v>
      </c>
      <c r="K71" s="114">
        <v>59.067709999999963</v>
      </c>
      <c r="L71" s="115">
        <v>0.66828999999718519</v>
      </c>
      <c r="M71" s="111">
        <v>0</v>
      </c>
      <c r="N71" s="116">
        <v>0</v>
      </c>
      <c r="O71" s="117">
        <v>0</v>
      </c>
      <c r="P71" s="118">
        <v>0</v>
      </c>
      <c r="Q71" s="116">
        <v>0</v>
      </c>
      <c r="R71" s="119">
        <v>13348.738439999997</v>
      </c>
      <c r="S71" s="117">
        <v>8816.7199999999993</v>
      </c>
      <c r="T71" s="120">
        <v>51.402544710504571</v>
      </c>
      <c r="U71" s="121">
        <v>0</v>
      </c>
      <c r="V71" s="119">
        <v>230.06698</v>
      </c>
      <c r="W71" s="119">
        <v>117.80471</v>
      </c>
      <c r="X71" s="120">
        <v>-48.795472518481361</v>
      </c>
      <c r="Y71" s="121">
        <v>5</v>
      </c>
      <c r="Z71" s="121">
        <v>5</v>
      </c>
      <c r="AA71" s="121">
        <v>10</v>
      </c>
      <c r="AB71" s="112">
        <v>103.5</v>
      </c>
      <c r="AC71" s="122">
        <v>1.4577464788732395</v>
      </c>
      <c r="AD71" s="123" t="s">
        <v>106</v>
      </c>
    </row>
    <row r="72" spans="1:30" ht="22.5" x14ac:dyDescent="0.25">
      <c r="A72" s="108">
        <v>56</v>
      </c>
      <c r="B72" s="109" t="s">
        <v>228</v>
      </c>
      <c r="C72" s="110">
        <v>75</v>
      </c>
      <c r="D72" s="111">
        <v>93</v>
      </c>
      <c r="E72" s="111">
        <v>95</v>
      </c>
      <c r="F72" s="111">
        <v>65</v>
      </c>
      <c r="G72" s="112">
        <v>328</v>
      </c>
      <c r="H72" s="113">
        <v>72534.907149999999</v>
      </c>
      <c r="I72" s="113">
        <v>72512.757599999997</v>
      </c>
      <c r="J72" s="114">
        <v>22.149550000001909</v>
      </c>
      <c r="K72" s="114">
        <v>0</v>
      </c>
      <c r="L72" s="115">
        <v>22.149550000001909</v>
      </c>
      <c r="M72" s="111">
        <v>0</v>
      </c>
      <c r="N72" s="116">
        <v>0</v>
      </c>
      <c r="O72" s="117">
        <v>33.285989999999998</v>
      </c>
      <c r="P72" s="118">
        <v>0</v>
      </c>
      <c r="Q72" s="116">
        <v>0</v>
      </c>
      <c r="R72" s="119">
        <v>24276.009999999991</v>
      </c>
      <c r="S72" s="117">
        <v>16078.915866666668</v>
      </c>
      <c r="T72" s="120">
        <v>50.980390726011478</v>
      </c>
      <c r="U72" s="121">
        <v>0</v>
      </c>
      <c r="V72" s="119">
        <v>714.98011999999994</v>
      </c>
      <c r="W72" s="119">
        <v>689.95315000000005</v>
      </c>
      <c r="X72" s="120">
        <v>-3.5003728495276052</v>
      </c>
      <c r="Y72" s="121">
        <v>5</v>
      </c>
      <c r="Z72" s="121">
        <v>5</v>
      </c>
      <c r="AA72" s="121">
        <v>10</v>
      </c>
      <c r="AB72" s="112">
        <v>102</v>
      </c>
      <c r="AC72" s="122">
        <v>1.4366197183098592</v>
      </c>
      <c r="AD72" s="123" t="s">
        <v>108</v>
      </c>
    </row>
    <row r="73" spans="1:30" ht="22.5" x14ac:dyDescent="0.25">
      <c r="A73" s="108">
        <v>57</v>
      </c>
      <c r="B73" s="109" t="s">
        <v>229</v>
      </c>
      <c r="C73" s="110">
        <v>80</v>
      </c>
      <c r="D73" s="111">
        <v>94</v>
      </c>
      <c r="E73" s="111">
        <v>95</v>
      </c>
      <c r="F73" s="111">
        <v>65</v>
      </c>
      <c r="G73" s="112">
        <v>334</v>
      </c>
      <c r="H73" s="113">
        <v>17446.93273</v>
      </c>
      <c r="I73" s="113">
        <v>17430.485800000002</v>
      </c>
      <c r="J73" s="114">
        <v>16.446929999998247</v>
      </c>
      <c r="K73" s="114">
        <v>0.20125999999977648</v>
      </c>
      <c r="L73" s="115">
        <v>16.245669999998469</v>
      </c>
      <c r="M73" s="111">
        <v>0</v>
      </c>
      <c r="N73" s="116">
        <v>0</v>
      </c>
      <c r="O73" s="117">
        <v>6.4912999999999998</v>
      </c>
      <c r="P73" s="118">
        <v>0</v>
      </c>
      <c r="Q73" s="116">
        <v>0</v>
      </c>
      <c r="R73" s="119">
        <v>6181.4658900000004</v>
      </c>
      <c r="S73" s="117">
        <v>3749.6733033333344</v>
      </c>
      <c r="T73" s="120">
        <v>64.853452286226741</v>
      </c>
      <c r="U73" s="121">
        <v>0</v>
      </c>
      <c r="V73" s="119">
        <v>164.83007000000001</v>
      </c>
      <c r="W73" s="119">
        <v>43.307610000000004</v>
      </c>
      <c r="X73" s="120">
        <v>-73.725904502740306</v>
      </c>
      <c r="Y73" s="121">
        <v>5</v>
      </c>
      <c r="Z73" s="121">
        <v>5</v>
      </c>
      <c r="AA73" s="121">
        <v>10</v>
      </c>
      <c r="AB73" s="112">
        <v>103.5</v>
      </c>
      <c r="AC73" s="122">
        <v>1.4577464788732395</v>
      </c>
      <c r="AD73" s="123" t="s">
        <v>106</v>
      </c>
    </row>
    <row r="74" spans="1:30" ht="22.5" x14ac:dyDescent="0.25">
      <c r="A74" s="108">
        <v>58</v>
      </c>
      <c r="B74" s="109" t="s">
        <v>230</v>
      </c>
      <c r="C74" s="110">
        <v>80</v>
      </c>
      <c r="D74" s="111">
        <v>80</v>
      </c>
      <c r="E74" s="111">
        <v>93</v>
      </c>
      <c r="F74" s="111">
        <v>65</v>
      </c>
      <c r="G74" s="112">
        <v>318</v>
      </c>
      <c r="H74" s="113">
        <v>36404.651189999997</v>
      </c>
      <c r="I74" s="113">
        <v>36321.792049999996</v>
      </c>
      <c r="J74" s="114">
        <v>82.85914000000048</v>
      </c>
      <c r="K74" s="114">
        <v>82.728599999999631</v>
      </c>
      <c r="L74" s="115">
        <v>0.13054000000084898</v>
      </c>
      <c r="M74" s="111">
        <v>0</v>
      </c>
      <c r="N74" s="116">
        <v>0</v>
      </c>
      <c r="O74" s="117">
        <v>0</v>
      </c>
      <c r="P74" s="118">
        <v>0</v>
      </c>
      <c r="Q74" s="116">
        <v>0</v>
      </c>
      <c r="R74" s="119">
        <v>10793.724459999996</v>
      </c>
      <c r="S74" s="117">
        <v>8509.3558633333323</v>
      </c>
      <c r="T74" s="120">
        <v>26.84537623476259</v>
      </c>
      <c r="U74" s="121">
        <v>0</v>
      </c>
      <c r="V74" s="119">
        <v>876.34947</v>
      </c>
      <c r="W74" s="119">
        <v>498.22252000000003</v>
      </c>
      <c r="X74" s="120">
        <v>-43.147963562983612</v>
      </c>
      <c r="Y74" s="121">
        <v>5</v>
      </c>
      <c r="Z74" s="121">
        <v>5</v>
      </c>
      <c r="AA74" s="121">
        <v>10</v>
      </c>
      <c r="AB74" s="112">
        <v>99.5</v>
      </c>
      <c r="AC74" s="122">
        <v>1.4014084507042253</v>
      </c>
      <c r="AD74" s="123" t="s">
        <v>108</v>
      </c>
    </row>
    <row r="75" spans="1:30" ht="22.5" x14ac:dyDescent="0.25">
      <c r="A75" s="108">
        <v>59</v>
      </c>
      <c r="B75" s="109" t="s">
        <v>231</v>
      </c>
      <c r="C75" s="110">
        <v>75</v>
      </c>
      <c r="D75" s="111">
        <v>95</v>
      </c>
      <c r="E75" s="111">
        <v>90</v>
      </c>
      <c r="F75" s="111">
        <v>65</v>
      </c>
      <c r="G75" s="112">
        <v>325</v>
      </c>
      <c r="H75" s="113">
        <v>72254.70289</v>
      </c>
      <c r="I75" s="113">
        <v>72226.811220000003</v>
      </c>
      <c r="J75" s="114">
        <v>27.891669999997248</v>
      </c>
      <c r="K75" s="114">
        <v>22.868280000001192</v>
      </c>
      <c r="L75" s="115">
        <v>5.0233899999960556</v>
      </c>
      <c r="M75" s="111">
        <v>0</v>
      </c>
      <c r="N75" s="116">
        <v>0</v>
      </c>
      <c r="O75" s="117">
        <v>6.9942299999999999</v>
      </c>
      <c r="P75" s="118">
        <v>0</v>
      </c>
      <c r="Q75" s="116">
        <v>0</v>
      </c>
      <c r="R75" s="119">
        <v>20228.85167</v>
      </c>
      <c r="S75" s="117">
        <v>17332.653183333332</v>
      </c>
      <c r="T75" s="120">
        <v>16.709493093945845</v>
      </c>
      <c r="U75" s="121">
        <v>10</v>
      </c>
      <c r="V75" s="119">
        <v>925.89241000000004</v>
      </c>
      <c r="W75" s="119">
        <v>767.24095999999997</v>
      </c>
      <c r="X75" s="120">
        <v>-17.134976838183611</v>
      </c>
      <c r="Y75" s="121">
        <v>5</v>
      </c>
      <c r="Z75" s="121">
        <v>5</v>
      </c>
      <c r="AA75" s="121">
        <v>10</v>
      </c>
      <c r="AB75" s="112">
        <v>111.25</v>
      </c>
      <c r="AC75" s="122">
        <v>1.5669014084507042</v>
      </c>
      <c r="AD75" s="123" t="s">
        <v>106</v>
      </c>
    </row>
    <row r="76" spans="1:30" ht="22.5" x14ac:dyDescent="0.25">
      <c r="A76" s="108">
        <v>60</v>
      </c>
      <c r="B76" s="109" t="s">
        <v>232</v>
      </c>
      <c r="C76" s="110">
        <v>70</v>
      </c>
      <c r="D76" s="111">
        <v>65</v>
      </c>
      <c r="E76" s="111">
        <v>93</v>
      </c>
      <c r="F76" s="111">
        <v>65</v>
      </c>
      <c r="G76" s="112">
        <v>293</v>
      </c>
      <c r="H76" s="113">
        <v>15439.81416</v>
      </c>
      <c r="I76" s="113">
        <v>15407.55682</v>
      </c>
      <c r="J76" s="114">
        <v>32.257340000000113</v>
      </c>
      <c r="K76" s="114">
        <v>14.083149999999907</v>
      </c>
      <c r="L76" s="115">
        <v>18.174190000000205</v>
      </c>
      <c r="M76" s="111">
        <v>0</v>
      </c>
      <c r="N76" s="116">
        <v>0</v>
      </c>
      <c r="O76" s="117">
        <v>0</v>
      </c>
      <c r="P76" s="118">
        <v>0</v>
      </c>
      <c r="Q76" s="116">
        <v>0</v>
      </c>
      <c r="R76" s="119">
        <v>4580.9274299999997</v>
      </c>
      <c r="S76" s="117">
        <v>3608.8764633333335</v>
      </c>
      <c r="T76" s="120">
        <v>26.935002528981911</v>
      </c>
      <c r="U76" s="121">
        <v>0</v>
      </c>
      <c r="V76" s="119">
        <v>576.32192000000009</v>
      </c>
      <c r="W76" s="119">
        <v>484.45860999999996</v>
      </c>
      <c r="X76" s="120">
        <v>-15.939582863688425</v>
      </c>
      <c r="Y76" s="121">
        <v>5</v>
      </c>
      <c r="Z76" s="121">
        <v>5</v>
      </c>
      <c r="AA76" s="121">
        <v>10</v>
      </c>
      <c r="AB76" s="112">
        <v>93.25</v>
      </c>
      <c r="AC76" s="122">
        <v>1.3133802816901408</v>
      </c>
      <c r="AD76" s="123" t="s">
        <v>107</v>
      </c>
    </row>
    <row r="77" spans="1:30" ht="22.5" x14ac:dyDescent="0.25">
      <c r="A77" s="108">
        <v>61</v>
      </c>
      <c r="B77" s="109" t="s">
        <v>233</v>
      </c>
      <c r="C77" s="110">
        <v>80</v>
      </c>
      <c r="D77" s="111">
        <v>80</v>
      </c>
      <c r="E77" s="111">
        <v>92</v>
      </c>
      <c r="F77" s="111">
        <v>65</v>
      </c>
      <c r="G77" s="112">
        <v>317</v>
      </c>
      <c r="H77" s="113">
        <v>15113.4365</v>
      </c>
      <c r="I77" s="113">
        <v>15094.184859999999</v>
      </c>
      <c r="J77" s="114">
        <v>19.251640000000407</v>
      </c>
      <c r="K77" s="114">
        <v>18.919680000000167</v>
      </c>
      <c r="L77" s="115">
        <v>0.33196000000024029</v>
      </c>
      <c r="M77" s="111">
        <v>0</v>
      </c>
      <c r="N77" s="116">
        <v>0</v>
      </c>
      <c r="O77" s="117">
        <v>0</v>
      </c>
      <c r="P77" s="118">
        <v>0</v>
      </c>
      <c r="Q77" s="116">
        <v>0</v>
      </c>
      <c r="R77" s="119">
        <v>4579.3128899999983</v>
      </c>
      <c r="S77" s="117">
        <v>3504.9573233333335</v>
      </c>
      <c r="T77" s="120">
        <v>30.652457863450277</v>
      </c>
      <c r="U77" s="121">
        <v>0</v>
      </c>
      <c r="V77" s="119">
        <v>36.35857</v>
      </c>
      <c r="W77" s="119">
        <v>4.18241</v>
      </c>
      <c r="X77" s="120">
        <v>-88.496769812454119</v>
      </c>
      <c r="Y77" s="121">
        <v>5</v>
      </c>
      <c r="Z77" s="121">
        <v>5</v>
      </c>
      <c r="AA77" s="121">
        <v>10</v>
      </c>
      <c r="AB77" s="112">
        <v>99.25</v>
      </c>
      <c r="AC77" s="122">
        <v>1.397887323943662</v>
      </c>
      <c r="AD77" s="123" t="s">
        <v>108</v>
      </c>
    </row>
    <row r="78" spans="1:30" ht="22.5" x14ac:dyDescent="0.25">
      <c r="A78" s="108">
        <v>62</v>
      </c>
      <c r="B78" s="109" t="s">
        <v>234</v>
      </c>
      <c r="C78" s="110">
        <v>80</v>
      </c>
      <c r="D78" s="111">
        <v>78</v>
      </c>
      <c r="E78" s="111">
        <v>95</v>
      </c>
      <c r="F78" s="111">
        <v>65</v>
      </c>
      <c r="G78" s="112">
        <v>318</v>
      </c>
      <c r="H78" s="113">
        <v>23730.434949999999</v>
      </c>
      <c r="I78" s="113">
        <v>23590.35757</v>
      </c>
      <c r="J78" s="114">
        <v>140.07737999999881</v>
      </c>
      <c r="K78" s="114">
        <v>41.351930000000166</v>
      </c>
      <c r="L78" s="115">
        <v>98.725449999998645</v>
      </c>
      <c r="M78" s="111">
        <v>0</v>
      </c>
      <c r="N78" s="116">
        <v>0</v>
      </c>
      <c r="O78" s="117">
        <v>4.6191800000000001</v>
      </c>
      <c r="P78" s="118">
        <v>0</v>
      </c>
      <c r="Q78" s="116">
        <v>0</v>
      </c>
      <c r="R78" s="119">
        <v>7039.5201300000008</v>
      </c>
      <c r="S78" s="117">
        <v>5516.9458133333328</v>
      </c>
      <c r="T78" s="120">
        <v>27.59813795863132</v>
      </c>
      <c r="U78" s="121">
        <v>0</v>
      </c>
      <c r="V78" s="119">
        <v>379.13810999999998</v>
      </c>
      <c r="W78" s="119">
        <v>341.31332000000003</v>
      </c>
      <c r="X78" s="120">
        <v>-9.9765201656989717</v>
      </c>
      <c r="Y78" s="121">
        <v>5</v>
      </c>
      <c r="Z78" s="121">
        <v>5</v>
      </c>
      <c r="AA78" s="121">
        <v>10</v>
      </c>
      <c r="AB78" s="112">
        <v>99.5</v>
      </c>
      <c r="AC78" s="122">
        <v>1.4014084507042253</v>
      </c>
      <c r="AD78" s="123" t="s">
        <v>108</v>
      </c>
    </row>
    <row r="79" spans="1:30" ht="22.5" x14ac:dyDescent="0.25">
      <c r="A79" s="108">
        <v>63</v>
      </c>
      <c r="B79" s="109" t="s">
        <v>235</v>
      </c>
      <c r="C79" s="110">
        <v>65</v>
      </c>
      <c r="D79" s="111">
        <v>79</v>
      </c>
      <c r="E79" s="111">
        <v>92</v>
      </c>
      <c r="F79" s="111">
        <v>65</v>
      </c>
      <c r="G79" s="112">
        <v>301</v>
      </c>
      <c r="H79" s="113">
        <v>19351.240040000001</v>
      </c>
      <c r="I79" s="113">
        <v>19299.538539999998</v>
      </c>
      <c r="J79" s="114">
        <v>51.701500000002852</v>
      </c>
      <c r="K79" s="114">
        <v>37.734589999999848</v>
      </c>
      <c r="L79" s="115">
        <v>13.966910000003004</v>
      </c>
      <c r="M79" s="111">
        <v>0</v>
      </c>
      <c r="N79" s="116">
        <v>0</v>
      </c>
      <c r="O79" s="117">
        <v>5.1600000000000005E-3</v>
      </c>
      <c r="P79" s="118">
        <v>0</v>
      </c>
      <c r="Q79" s="116">
        <v>0</v>
      </c>
      <c r="R79" s="119">
        <v>5963.0185099999999</v>
      </c>
      <c r="S79" s="117">
        <v>4445.506676666666</v>
      </c>
      <c r="T79" s="120">
        <v>34.135857703203271</v>
      </c>
      <c r="U79" s="121">
        <v>0</v>
      </c>
      <c r="V79" s="119">
        <v>56.363690000000005</v>
      </c>
      <c r="W79" s="119">
        <v>18.053180000000001</v>
      </c>
      <c r="X79" s="120">
        <v>-67.970194996104766</v>
      </c>
      <c r="Y79" s="121">
        <v>5</v>
      </c>
      <c r="Z79" s="121">
        <v>5</v>
      </c>
      <c r="AA79" s="121">
        <v>10</v>
      </c>
      <c r="AB79" s="112">
        <v>95.25</v>
      </c>
      <c r="AC79" s="122">
        <v>1.341549295774648</v>
      </c>
      <c r="AD79" s="123" t="s">
        <v>107</v>
      </c>
    </row>
    <row r="80" spans="1:30" ht="22.5" x14ac:dyDescent="0.25">
      <c r="A80" s="108">
        <v>64</v>
      </c>
      <c r="B80" s="109" t="s">
        <v>236</v>
      </c>
      <c r="C80" s="110">
        <v>80</v>
      </c>
      <c r="D80" s="111">
        <v>95</v>
      </c>
      <c r="E80" s="111">
        <v>95</v>
      </c>
      <c r="F80" s="111">
        <v>65</v>
      </c>
      <c r="G80" s="112">
        <v>335</v>
      </c>
      <c r="H80" s="113">
        <v>21583.468250000002</v>
      </c>
      <c r="I80" s="113">
        <v>21564.274249999999</v>
      </c>
      <c r="J80" s="114">
        <v>19.194000000003143</v>
      </c>
      <c r="K80" s="114">
        <v>1.0133900000001304</v>
      </c>
      <c r="L80" s="115">
        <v>18.180610000003014</v>
      </c>
      <c r="M80" s="111">
        <v>0</v>
      </c>
      <c r="N80" s="116">
        <v>0</v>
      </c>
      <c r="O80" s="117">
        <v>2.1289600000000002</v>
      </c>
      <c r="P80" s="118">
        <v>0</v>
      </c>
      <c r="Q80" s="116">
        <v>0</v>
      </c>
      <c r="R80" s="119">
        <v>6119.7742500000004</v>
      </c>
      <c r="S80" s="117">
        <v>5148.1666666666661</v>
      </c>
      <c r="T80" s="120">
        <v>18.872885169477829</v>
      </c>
      <c r="U80" s="121">
        <v>10</v>
      </c>
      <c r="V80" s="119">
        <v>38.93186</v>
      </c>
      <c r="W80" s="119">
        <v>38.278580000000005</v>
      </c>
      <c r="X80" s="120">
        <v>-1.6780087054664101</v>
      </c>
      <c r="Y80" s="121">
        <v>5</v>
      </c>
      <c r="Z80" s="121">
        <v>5</v>
      </c>
      <c r="AA80" s="121">
        <v>10</v>
      </c>
      <c r="AB80" s="112">
        <v>113.75</v>
      </c>
      <c r="AC80" s="122">
        <v>1.602112676056338</v>
      </c>
      <c r="AD80" s="123" t="s">
        <v>106</v>
      </c>
    </row>
    <row r="81" spans="1:30" ht="67.5" x14ac:dyDescent="0.25">
      <c r="A81" s="108">
        <v>65</v>
      </c>
      <c r="B81" s="109" t="s">
        <v>237</v>
      </c>
      <c r="C81" s="110">
        <v>65</v>
      </c>
      <c r="D81" s="111">
        <v>94</v>
      </c>
      <c r="E81" s="111">
        <v>95</v>
      </c>
      <c r="F81" s="111">
        <v>64</v>
      </c>
      <c r="G81" s="112">
        <v>318</v>
      </c>
      <c r="H81" s="113">
        <v>64631.796000000002</v>
      </c>
      <c r="I81" s="113">
        <v>64414.467579999997</v>
      </c>
      <c r="J81" s="114">
        <v>217.32842000000528</v>
      </c>
      <c r="K81" s="114">
        <v>0</v>
      </c>
      <c r="L81" s="115">
        <v>217.32842000000528</v>
      </c>
      <c r="M81" s="111">
        <v>0</v>
      </c>
      <c r="N81" s="116">
        <v>0</v>
      </c>
      <c r="O81" s="117">
        <v>44.399769999999997</v>
      </c>
      <c r="P81" s="118">
        <v>0.1</v>
      </c>
      <c r="Q81" s="116">
        <v>1</v>
      </c>
      <c r="R81" s="119">
        <v>23239.667579999998</v>
      </c>
      <c r="S81" s="117">
        <v>13724.933333333334</v>
      </c>
      <c r="T81" s="120">
        <v>69.324447817597147</v>
      </c>
      <c r="U81" s="121">
        <v>0</v>
      </c>
      <c r="V81" s="119">
        <v>900.96231999999998</v>
      </c>
      <c r="W81" s="119">
        <v>749.04918999999995</v>
      </c>
      <c r="X81" s="120">
        <v>-16.861207913778241</v>
      </c>
      <c r="Y81" s="121">
        <v>5</v>
      </c>
      <c r="Z81" s="121">
        <v>5</v>
      </c>
      <c r="AA81" s="121">
        <v>10</v>
      </c>
      <c r="AB81" s="112">
        <v>98.5</v>
      </c>
      <c r="AC81" s="122">
        <v>1.3873239436619718</v>
      </c>
      <c r="AD81" s="123" t="s">
        <v>108</v>
      </c>
    </row>
    <row r="82" spans="1:30" ht="22.5" x14ac:dyDescent="0.25">
      <c r="A82" s="108">
        <v>66</v>
      </c>
      <c r="B82" s="109" t="s">
        <v>238</v>
      </c>
      <c r="C82" s="110">
        <v>80</v>
      </c>
      <c r="D82" s="111">
        <v>73</v>
      </c>
      <c r="E82" s="111">
        <v>95</v>
      </c>
      <c r="F82" s="111">
        <v>65</v>
      </c>
      <c r="G82" s="112">
        <v>313</v>
      </c>
      <c r="H82" s="113">
        <v>19934.792300000001</v>
      </c>
      <c r="I82" s="113">
        <v>19867.245309999998</v>
      </c>
      <c r="J82" s="114">
        <v>67.546990000002552</v>
      </c>
      <c r="K82" s="114">
        <v>40.963240000000226</v>
      </c>
      <c r="L82" s="115">
        <v>26.583750000002325</v>
      </c>
      <c r="M82" s="111">
        <v>0</v>
      </c>
      <c r="N82" s="116">
        <v>0</v>
      </c>
      <c r="O82" s="117">
        <v>0</v>
      </c>
      <c r="P82" s="118">
        <v>0</v>
      </c>
      <c r="Q82" s="116">
        <v>0</v>
      </c>
      <c r="R82" s="119">
        <v>6550.1722599999976</v>
      </c>
      <c r="S82" s="117">
        <v>4439.0243500000006</v>
      </c>
      <c r="T82" s="120">
        <v>47.558826975121157</v>
      </c>
      <c r="U82" s="121">
        <v>0</v>
      </c>
      <c r="V82" s="119">
        <v>340.06554999999997</v>
      </c>
      <c r="W82" s="119">
        <v>270.32661999999999</v>
      </c>
      <c r="X82" s="120">
        <v>-20.507496275350441</v>
      </c>
      <c r="Y82" s="121">
        <v>5</v>
      </c>
      <c r="Z82" s="121">
        <v>5</v>
      </c>
      <c r="AA82" s="121">
        <v>10</v>
      </c>
      <c r="AB82" s="112">
        <v>98.25</v>
      </c>
      <c r="AC82" s="122">
        <v>1.3838028169014085</v>
      </c>
      <c r="AD82" s="123" t="s">
        <v>108</v>
      </c>
    </row>
    <row r="83" spans="1:30" ht="22.5" x14ac:dyDescent="0.25">
      <c r="A83" s="108">
        <v>67</v>
      </c>
      <c r="B83" s="109" t="s">
        <v>239</v>
      </c>
      <c r="C83" s="110">
        <v>70</v>
      </c>
      <c r="D83" s="111">
        <v>79</v>
      </c>
      <c r="E83" s="111">
        <v>94</v>
      </c>
      <c r="F83" s="111">
        <v>65</v>
      </c>
      <c r="G83" s="112">
        <v>308</v>
      </c>
      <c r="H83" s="113">
        <v>13426.179619999999</v>
      </c>
      <c r="I83" s="113">
        <v>13396.92215</v>
      </c>
      <c r="J83" s="114">
        <v>29.257469999998648</v>
      </c>
      <c r="K83" s="114">
        <v>17.120290000000036</v>
      </c>
      <c r="L83" s="115">
        <v>12.137179999998612</v>
      </c>
      <c r="M83" s="111">
        <v>0</v>
      </c>
      <c r="N83" s="116">
        <v>0</v>
      </c>
      <c r="O83" s="117">
        <v>0</v>
      </c>
      <c r="P83" s="118">
        <v>0</v>
      </c>
      <c r="Q83" s="116">
        <v>0</v>
      </c>
      <c r="R83" s="119">
        <v>4053.3121500000002</v>
      </c>
      <c r="S83" s="117">
        <v>3114.5366666666669</v>
      </c>
      <c r="T83" s="120">
        <v>30.141738043432891</v>
      </c>
      <c r="U83" s="121">
        <v>0</v>
      </c>
      <c r="V83" s="119">
        <v>141.87854000000002</v>
      </c>
      <c r="W83" s="119">
        <v>119.61149</v>
      </c>
      <c r="X83" s="120">
        <v>-15.694445403793983</v>
      </c>
      <c r="Y83" s="121">
        <v>5</v>
      </c>
      <c r="Z83" s="121">
        <v>5</v>
      </c>
      <c r="AA83" s="121">
        <v>10</v>
      </c>
      <c r="AB83" s="112">
        <v>97</v>
      </c>
      <c r="AC83" s="122">
        <v>1.3661971830985915</v>
      </c>
      <c r="AD83" s="123" t="s">
        <v>108</v>
      </c>
    </row>
    <row r="84" spans="1:30" ht="22.5" x14ac:dyDescent="0.25">
      <c r="A84" s="108">
        <v>68</v>
      </c>
      <c r="B84" s="109" t="s">
        <v>240</v>
      </c>
      <c r="C84" s="110">
        <v>80</v>
      </c>
      <c r="D84" s="111">
        <v>95</v>
      </c>
      <c r="E84" s="111">
        <v>85</v>
      </c>
      <c r="F84" s="111">
        <v>65</v>
      </c>
      <c r="G84" s="112">
        <v>325</v>
      </c>
      <c r="H84" s="113">
        <v>42649.68374</v>
      </c>
      <c r="I84" s="113">
        <v>42626.742020000005</v>
      </c>
      <c r="J84" s="114">
        <v>22.941719999995257</v>
      </c>
      <c r="K84" s="114">
        <v>22.404839999999851</v>
      </c>
      <c r="L84" s="115">
        <v>0.53687999999540637</v>
      </c>
      <c r="M84" s="111">
        <v>0</v>
      </c>
      <c r="N84" s="116">
        <v>0</v>
      </c>
      <c r="O84" s="117">
        <v>5.8619999999999998E-2</v>
      </c>
      <c r="P84" s="118">
        <v>0</v>
      </c>
      <c r="Q84" s="116">
        <v>0</v>
      </c>
      <c r="R84" s="119">
        <v>13292.210509999997</v>
      </c>
      <c r="S84" s="117">
        <v>9778.1771700000027</v>
      </c>
      <c r="T84" s="120">
        <v>35.937509403912685</v>
      </c>
      <c r="U84" s="121">
        <v>0</v>
      </c>
      <c r="V84" s="119">
        <v>658.92876999999999</v>
      </c>
      <c r="W84" s="119">
        <v>1013.2506</v>
      </c>
      <c r="X84" s="120">
        <v>53.772402440403376</v>
      </c>
      <c r="Y84" s="121">
        <v>0</v>
      </c>
      <c r="Z84" s="121">
        <v>5</v>
      </c>
      <c r="AA84" s="121">
        <v>10</v>
      </c>
      <c r="AB84" s="112">
        <v>96.25</v>
      </c>
      <c r="AC84" s="122">
        <v>1.3556338028169015</v>
      </c>
      <c r="AD84" s="123" t="s">
        <v>108</v>
      </c>
    </row>
    <row r="85" spans="1:30" ht="22.5" x14ac:dyDescent="0.25">
      <c r="A85" s="108">
        <v>69</v>
      </c>
      <c r="B85" s="109" t="s">
        <v>241</v>
      </c>
      <c r="C85" s="110">
        <v>55</v>
      </c>
      <c r="D85" s="111">
        <v>94</v>
      </c>
      <c r="E85" s="111">
        <v>95</v>
      </c>
      <c r="F85" s="111">
        <v>65</v>
      </c>
      <c r="G85" s="112">
        <v>309</v>
      </c>
      <c r="H85" s="113">
        <v>11670.92282</v>
      </c>
      <c r="I85" s="113">
        <v>11661.361919999999</v>
      </c>
      <c r="J85" s="114">
        <v>9.5609000000004016</v>
      </c>
      <c r="K85" s="114">
        <v>6.0509000000001398</v>
      </c>
      <c r="L85" s="115">
        <v>3.5100000000002618</v>
      </c>
      <c r="M85" s="111">
        <v>0</v>
      </c>
      <c r="N85" s="116">
        <v>0</v>
      </c>
      <c r="O85" s="117">
        <v>0</v>
      </c>
      <c r="P85" s="118">
        <v>0</v>
      </c>
      <c r="Q85" s="116">
        <v>0</v>
      </c>
      <c r="R85" s="119">
        <v>3712.1593399999997</v>
      </c>
      <c r="S85" s="117">
        <v>2649.7341933333332</v>
      </c>
      <c r="T85" s="120">
        <v>40.095536727408444</v>
      </c>
      <c r="U85" s="121">
        <v>0</v>
      </c>
      <c r="V85" s="119">
        <v>174.82798</v>
      </c>
      <c r="W85" s="119">
        <v>88.436820000000012</v>
      </c>
      <c r="X85" s="120">
        <v>-49.414950627468201</v>
      </c>
      <c r="Y85" s="121">
        <v>5</v>
      </c>
      <c r="Z85" s="121">
        <v>5</v>
      </c>
      <c r="AA85" s="121">
        <v>10</v>
      </c>
      <c r="AB85" s="112">
        <v>97.25</v>
      </c>
      <c r="AC85" s="122">
        <v>1.369718309859155</v>
      </c>
      <c r="AD85" s="123" t="s">
        <v>108</v>
      </c>
    </row>
    <row r="86" spans="1:30" ht="22.5" x14ac:dyDescent="0.25">
      <c r="A86" s="126">
        <v>70</v>
      </c>
      <c r="B86" s="132" t="s">
        <v>242</v>
      </c>
      <c r="C86" s="128">
        <v>70</v>
      </c>
      <c r="D86" s="118">
        <v>64</v>
      </c>
      <c r="E86" s="118">
        <v>92</v>
      </c>
      <c r="F86" s="118">
        <v>65</v>
      </c>
      <c r="G86" s="121">
        <v>291</v>
      </c>
      <c r="H86" s="117">
        <v>15398.621800000001</v>
      </c>
      <c r="I86" s="117">
        <v>15389.21881</v>
      </c>
      <c r="J86" s="129">
        <v>9.4029900000005</v>
      </c>
      <c r="K86" s="129">
        <v>5.0859999999869614E-2</v>
      </c>
      <c r="L86" s="120">
        <v>9.3521300000006296</v>
      </c>
      <c r="M86" s="118">
        <v>0</v>
      </c>
      <c r="N86" s="116">
        <v>0</v>
      </c>
      <c r="O86" s="117">
        <v>0</v>
      </c>
      <c r="P86" s="118">
        <v>0</v>
      </c>
      <c r="Q86" s="116">
        <v>0</v>
      </c>
      <c r="R86" s="119">
        <v>4871.6188100000008</v>
      </c>
      <c r="S86" s="117">
        <v>3505.8666666666663</v>
      </c>
      <c r="T86" s="120">
        <v>38.956191811820226</v>
      </c>
      <c r="U86" s="121">
        <v>0</v>
      </c>
      <c r="V86" s="119">
        <v>216.32179000000002</v>
      </c>
      <c r="W86" s="119">
        <v>224.17085</v>
      </c>
      <c r="X86" s="120">
        <v>3.6284185703159997</v>
      </c>
      <c r="Y86" s="121">
        <v>0</v>
      </c>
      <c r="Z86" s="121">
        <v>5</v>
      </c>
      <c r="AA86" s="121">
        <v>10</v>
      </c>
      <c r="AB86" s="121">
        <v>87.75</v>
      </c>
      <c r="AC86" s="130">
        <v>1.2359154929577465</v>
      </c>
      <c r="AD86" s="131" t="s">
        <v>104</v>
      </c>
    </row>
    <row r="87" spans="1:30" ht="22.5" x14ac:dyDescent="0.25">
      <c r="A87" s="126">
        <v>71</v>
      </c>
      <c r="B87" s="132" t="s">
        <v>243</v>
      </c>
      <c r="C87" s="128">
        <v>65</v>
      </c>
      <c r="D87" s="118">
        <v>64</v>
      </c>
      <c r="E87" s="118">
        <v>88</v>
      </c>
      <c r="F87" s="118">
        <v>54</v>
      </c>
      <c r="G87" s="121">
        <v>271</v>
      </c>
      <c r="H87" s="117">
        <v>19493.062480000001</v>
      </c>
      <c r="I87" s="117">
        <v>19392.713359999998</v>
      </c>
      <c r="J87" s="129">
        <v>100.34912000000259</v>
      </c>
      <c r="K87" s="129">
        <v>42.009479999999982</v>
      </c>
      <c r="L87" s="120">
        <v>58.339640000002603</v>
      </c>
      <c r="M87" s="118">
        <v>0</v>
      </c>
      <c r="N87" s="116">
        <v>0</v>
      </c>
      <c r="O87" s="117">
        <v>21.134220000000003</v>
      </c>
      <c r="P87" s="118">
        <v>0.1</v>
      </c>
      <c r="Q87" s="116">
        <v>1</v>
      </c>
      <c r="R87" s="119">
        <v>6907.8137899999992</v>
      </c>
      <c r="S87" s="117">
        <v>4161.6331899999996</v>
      </c>
      <c r="T87" s="120">
        <v>65.988050234672414</v>
      </c>
      <c r="U87" s="121">
        <v>0</v>
      </c>
      <c r="V87" s="119">
        <v>413.97568000000001</v>
      </c>
      <c r="W87" s="119">
        <v>957.64382999999998</v>
      </c>
      <c r="X87" s="120">
        <v>131.32852393647858</v>
      </c>
      <c r="Y87" s="121">
        <v>0</v>
      </c>
      <c r="Z87" s="121">
        <v>5</v>
      </c>
      <c r="AA87" s="121">
        <v>10</v>
      </c>
      <c r="AB87" s="121">
        <v>81.75</v>
      </c>
      <c r="AC87" s="130">
        <v>1.1514084507042253</v>
      </c>
      <c r="AD87" s="131" t="s">
        <v>104</v>
      </c>
    </row>
    <row r="88" spans="1:30" x14ac:dyDescent="0.25">
      <c r="A88" s="133"/>
      <c r="B88" s="134"/>
      <c r="C88" s="135"/>
      <c r="D88" s="136"/>
      <c r="E88" s="136"/>
      <c r="F88" s="136"/>
      <c r="G88" s="137"/>
      <c r="H88" s="138"/>
      <c r="I88" s="138"/>
      <c r="J88" s="139"/>
      <c r="K88" s="140"/>
      <c r="L88" s="140"/>
      <c r="M88" s="141"/>
      <c r="N88" s="142"/>
      <c r="O88" s="143"/>
      <c r="P88" s="142"/>
      <c r="Q88" s="142"/>
      <c r="R88" s="144"/>
      <c r="S88" s="143"/>
      <c r="T88" s="144"/>
      <c r="U88" s="144"/>
      <c r="V88" s="145"/>
      <c r="W88" s="145"/>
      <c r="X88" s="144"/>
      <c r="Y88" s="144"/>
      <c r="Z88" s="144"/>
      <c r="AA88" s="144"/>
      <c r="AB88" s="146"/>
      <c r="AC88" s="147"/>
      <c r="AD88" s="97"/>
    </row>
    <row r="89" spans="1:30" x14ac:dyDescent="0.25">
      <c r="B89" s="134"/>
      <c r="C89" s="138"/>
      <c r="D89" s="139"/>
      <c r="E89" s="139"/>
      <c r="F89" s="139"/>
      <c r="G89" s="148"/>
      <c r="K89" s="149"/>
      <c r="L89" s="149"/>
      <c r="M89" s="150"/>
      <c r="N89" s="151"/>
      <c r="O89" s="151"/>
      <c r="P89" s="151"/>
      <c r="Q89" s="151"/>
      <c r="R89" s="151"/>
      <c r="S89" s="151"/>
      <c r="T89" s="151"/>
      <c r="U89" s="90"/>
      <c r="V89" s="90"/>
      <c r="W89" s="90"/>
      <c r="X89" s="90"/>
      <c r="Y89" s="90"/>
      <c r="Z89" s="90"/>
      <c r="AA89" s="90"/>
      <c r="AB89" s="138"/>
      <c r="AC89" s="147"/>
      <c r="AD89" s="97"/>
    </row>
    <row r="90" spans="1:30" x14ac:dyDescent="0.25">
      <c r="B90" s="134"/>
      <c r="C90" s="138"/>
      <c r="D90" s="139"/>
      <c r="E90" s="139"/>
      <c r="F90" s="139"/>
      <c r="G90" s="148"/>
      <c r="J90" s="139"/>
      <c r="K90" s="139"/>
      <c r="L90" s="139"/>
      <c r="M90" s="150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C90" s="147"/>
      <c r="AD90" s="97"/>
    </row>
    <row r="91" spans="1:30" ht="18.75" x14ac:dyDescent="0.3">
      <c r="A91" s="152"/>
      <c r="B91" s="198" t="s">
        <v>159</v>
      </c>
      <c r="C91" s="198"/>
      <c r="D91" s="198"/>
      <c r="E91" s="198"/>
      <c r="F91" s="198"/>
      <c r="G91" s="199"/>
      <c r="H91" s="199"/>
      <c r="I91" s="199"/>
      <c r="J91" s="152"/>
      <c r="K91" s="152"/>
      <c r="L91" s="152"/>
      <c r="M91" s="199" t="s">
        <v>109</v>
      </c>
      <c r="N91" s="199"/>
      <c r="O91" s="153"/>
      <c r="P91" s="153"/>
      <c r="Q91" s="153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152"/>
      <c r="AC91" s="154"/>
      <c r="AD91" s="155"/>
    </row>
    <row r="92" spans="1:30" ht="18.75" x14ac:dyDescent="0.3">
      <c r="B92" s="156" t="s">
        <v>160</v>
      </c>
      <c r="C92" s="89"/>
      <c r="G92" s="182" t="s">
        <v>161</v>
      </c>
      <c r="H92" s="182"/>
      <c r="I92" s="182"/>
      <c r="J92" s="157"/>
      <c r="K92" s="157"/>
      <c r="L92" s="157"/>
      <c r="M92" s="182" t="s">
        <v>162</v>
      </c>
      <c r="N92" s="182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C92" s="96"/>
      <c r="AD92" s="97"/>
    </row>
  </sheetData>
  <mergeCells count="37">
    <mergeCell ref="A10:AD10"/>
    <mergeCell ref="A11:AD11"/>
    <mergeCell ref="A13:A15"/>
    <mergeCell ref="B13:B15"/>
    <mergeCell ref="C13:C15"/>
    <mergeCell ref="D13:D15"/>
    <mergeCell ref="E13:E15"/>
    <mergeCell ref="F13:F15"/>
    <mergeCell ref="G13:G15"/>
    <mergeCell ref="H13:H15"/>
    <mergeCell ref="AD13:AD15"/>
    <mergeCell ref="W13:W15"/>
    <mergeCell ref="X13:X15"/>
    <mergeCell ref="Y13:Y15"/>
    <mergeCell ref="Z13:Z15"/>
    <mergeCell ref="B91:F91"/>
    <mergeCell ref="G91:I91"/>
    <mergeCell ref="M91:N91"/>
    <mergeCell ref="U13:U15"/>
    <mergeCell ref="V13:V15"/>
    <mergeCell ref="O13:O15"/>
    <mergeCell ref="P13:P15"/>
    <mergeCell ref="Q13:Q15"/>
    <mergeCell ref="R13:R15"/>
    <mergeCell ref="S13:S15"/>
    <mergeCell ref="T13:T15"/>
    <mergeCell ref="G92:I92"/>
    <mergeCell ref="M92:N92"/>
    <mergeCell ref="AA13:AA15"/>
    <mergeCell ref="AB13:AB15"/>
    <mergeCell ref="AC13:AC15"/>
    <mergeCell ref="I13:I15"/>
    <mergeCell ref="J13:J15"/>
    <mergeCell ref="K13:K15"/>
    <mergeCell ref="L13:L15"/>
    <mergeCell ref="M13:M15"/>
    <mergeCell ref="N13:N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6"/>
  <sheetViews>
    <sheetView view="pageBreakPreview" topLeftCell="A16" zoomScale="60" zoomScaleNormal="100" workbookViewId="0">
      <selection activeCell="AD19" sqref="AD19"/>
    </sheetView>
  </sheetViews>
  <sheetFormatPr defaultRowHeight="15" x14ac:dyDescent="0.25"/>
  <cols>
    <col min="1" max="1" width="9.28515625" bestFit="1" customWidth="1"/>
    <col min="2" max="2" width="53.85546875" customWidth="1"/>
    <col min="3" max="7" width="9.28515625" bestFit="1" customWidth="1"/>
    <col min="8" max="8" width="13.85546875" customWidth="1"/>
    <col min="9" max="11" width="14" bestFit="1" customWidth="1"/>
    <col min="12" max="12" width="14.42578125" bestFit="1" customWidth="1"/>
    <col min="13" max="13" width="14" bestFit="1" customWidth="1"/>
    <col min="14" max="14" width="14.42578125" bestFit="1" customWidth="1"/>
    <col min="15" max="16" width="14" bestFit="1" customWidth="1"/>
    <col min="17" max="17" width="14.42578125" bestFit="1" customWidth="1"/>
    <col min="18" max="19" width="14" bestFit="1" customWidth="1"/>
    <col min="20" max="21" width="14.42578125" bestFit="1" customWidth="1"/>
    <col min="22" max="23" width="14" bestFit="1" customWidth="1"/>
    <col min="24" max="25" width="14.42578125" bestFit="1" customWidth="1"/>
    <col min="26" max="26" width="17.28515625" customWidth="1"/>
    <col min="30" max="30" width="17.7109375" customWidth="1"/>
  </cols>
  <sheetData>
    <row r="1" spans="1:30" ht="20.25" x14ac:dyDescent="0.25">
      <c r="A1" s="1"/>
      <c r="B1" s="233" t="s">
        <v>116</v>
      </c>
      <c r="C1" s="233"/>
      <c r="D1" s="233"/>
      <c r="E1" s="23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34"/>
      <c r="AC1" s="234"/>
      <c r="AD1" s="234"/>
    </row>
    <row r="2" spans="1:30" ht="23.25" x14ac:dyDescent="0.35">
      <c r="A2" s="1"/>
      <c r="B2" s="233"/>
      <c r="C2" s="233"/>
      <c r="D2" s="233"/>
      <c r="E2" s="23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46" t="s">
        <v>0</v>
      </c>
      <c r="AA2" s="47"/>
      <c r="AB2" s="48"/>
      <c r="AC2" s="49"/>
      <c r="AD2" s="1"/>
    </row>
    <row r="3" spans="1:30" ht="23.25" x14ac:dyDescent="0.35">
      <c r="A3" s="1"/>
      <c r="B3" s="3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50" t="s">
        <v>17</v>
      </c>
      <c r="AA3" s="50"/>
      <c r="AB3" s="48"/>
      <c r="AC3" s="49"/>
      <c r="AD3" s="1"/>
    </row>
    <row r="4" spans="1:30" ht="23.25" x14ac:dyDescent="0.35">
      <c r="A4" s="1"/>
      <c r="B4" s="3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49" t="s">
        <v>117</v>
      </c>
      <c r="AA4" s="51"/>
      <c r="AB4" s="48"/>
      <c r="AC4" s="49"/>
      <c r="AD4" s="1"/>
    </row>
    <row r="5" spans="1:30" ht="23.25" x14ac:dyDescent="0.35">
      <c r="A5" s="1"/>
      <c r="B5" s="3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49" t="s">
        <v>118</v>
      </c>
      <c r="AA5" s="51"/>
      <c r="AB5" s="48"/>
      <c r="AC5" s="49"/>
      <c r="AD5" s="1"/>
    </row>
    <row r="6" spans="1:30" ht="18.75" x14ac:dyDescent="0.3">
      <c r="A6" s="1"/>
      <c r="B6" s="1"/>
      <c r="C6" s="5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53"/>
      <c r="AC6" s="54"/>
      <c r="AD6" s="55"/>
    </row>
    <row r="7" spans="1:30" ht="18.7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56"/>
      <c r="AC7" s="56"/>
      <c r="AD7" s="55"/>
    </row>
    <row r="8" spans="1:30" ht="18.7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57"/>
      <c r="P8" s="1"/>
      <c r="Q8" s="58"/>
      <c r="R8" s="1"/>
      <c r="S8" s="1"/>
      <c r="T8" s="1"/>
      <c r="U8" s="1"/>
      <c r="V8" s="1"/>
      <c r="W8" s="1"/>
      <c r="X8" s="1"/>
      <c r="Y8" s="1"/>
      <c r="Z8" s="1"/>
      <c r="AA8" s="1"/>
      <c r="AB8" s="28"/>
      <c r="AC8" s="59"/>
      <c r="AD8" s="55"/>
    </row>
    <row r="9" spans="1:30" ht="18.7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8"/>
      <c r="AC9" s="59"/>
      <c r="AD9" s="55"/>
    </row>
    <row r="10" spans="1:30" x14ac:dyDescent="0.25">
      <c r="A10" s="1"/>
      <c r="B10" s="1"/>
      <c r="C10" s="2"/>
      <c r="D10" s="2"/>
      <c r="E10" s="2"/>
      <c r="F10" s="2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60"/>
      <c r="AD10" s="22"/>
    </row>
    <row r="11" spans="1:30" ht="22.5" x14ac:dyDescent="0.3">
      <c r="A11" s="235" t="s">
        <v>1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</row>
    <row r="12" spans="1:30" ht="22.5" x14ac:dyDescent="0.3">
      <c r="A12" s="235" t="s">
        <v>119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</row>
    <row r="13" spans="1:30" x14ac:dyDescent="0.25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60"/>
      <c r="AD13" s="22"/>
    </row>
    <row r="14" spans="1:30" x14ac:dyDescent="0.25">
      <c r="A14" s="236" t="s">
        <v>2</v>
      </c>
      <c r="B14" s="221" t="s">
        <v>3</v>
      </c>
      <c r="C14" s="221" t="s">
        <v>120</v>
      </c>
      <c r="D14" s="221" t="s">
        <v>121</v>
      </c>
      <c r="E14" s="221" t="s">
        <v>122</v>
      </c>
      <c r="F14" s="221" t="s">
        <v>123</v>
      </c>
      <c r="G14" s="217" t="s">
        <v>124</v>
      </c>
      <c r="H14" s="224" t="s">
        <v>125</v>
      </c>
      <c r="I14" s="224" t="s">
        <v>4</v>
      </c>
      <c r="J14" s="221" t="s">
        <v>126</v>
      </c>
      <c r="K14" s="221" t="s">
        <v>127</v>
      </c>
      <c r="L14" s="224" t="s">
        <v>128</v>
      </c>
      <c r="M14" s="221" t="s">
        <v>129</v>
      </c>
      <c r="N14" s="217" t="s">
        <v>130</v>
      </c>
      <c r="O14" s="224" t="s">
        <v>131</v>
      </c>
      <c r="P14" s="221" t="s">
        <v>132</v>
      </c>
      <c r="Q14" s="217" t="s">
        <v>133</v>
      </c>
      <c r="R14" s="221" t="s">
        <v>7</v>
      </c>
      <c r="S14" s="221" t="s">
        <v>6</v>
      </c>
      <c r="T14" s="224" t="s">
        <v>134</v>
      </c>
      <c r="U14" s="217" t="s">
        <v>98</v>
      </c>
      <c r="V14" s="221" t="s">
        <v>135</v>
      </c>
      <c r="W14" s="221" t="s">
        <v>136</v>
      </c>
      <c r="X14" s="224" t="s">
        <v>22</v>
      </c>
      <c r="Y14" s="217" t="s">
        <v>137</v>
      </c>
      <c r="Z14" s="227" t="s">
        <v>138</v>
      </c>
      <c r="AA14" s="217" t="s">
        <v>139</v>
      </c>
      <c r="AB14" s="217" t="s">
        <v>8</v>
      </c>
      <c r="AC14" s="230" t="s">
        <v>140</v>
      </c>
      <c r="AD14" s="220" t="s">
        <v>141</v>
      </c>
    </row>
    <row r="15" spans="1:30" ht="50.25" customHeight="1" x14ac:dyDescent="0.25">
      <c r="A15" s="237"/>
      <c r="B15" s="239"/>
      <c r="C15" s="239"/>
      <c r="D15" s="239"/>
      <c r="E15" s="239"/>
      <c r="F15" s="239"/>
      <c r="G15" s="241"/>
      <c r="H15" s="243"/>
      <c r="I15" s="225"/>
      <c r="J15" s="222"/>
      <c r="K15" s="222" t="s">
        <v>142</v>
      </c>
      <c r="L15" s="225" t="s">
        <v>143</v>
      </c>
      <c r="M15" s="222"/>
      <c r="N15" s="218"/>
      <c r="O15" s="225"/>
      <c r="P15" s="222"/>
      <c r="Q15" s="218"/>
      <c r="R15" s="222"/>
      <c r="S15" s="222"/>
      <c r="T15" s="225"/>
      <c r="U15" s="218"/>
      <c r="V15" s="222"/>
      <c r="W15" s="222" t="s">
        <v>15</v>
      </c>
      <c r="X15" s="225"/>
      <c r="Y15" s="218"/>
      <c r="Z15" s="228"/>
      <c r="AA15" s="218"/>
      <c r="AB15" s="218"/>
      <c r="AC15" s="231"/>
      <c r="AD15" s="220"/>
    </row>
    <row r="16" spans="1:30" ht="41.25" customHeight="1" x14ac:dyDescent="0.25">
      <c r="A16" s="238"/>
      <c r="B16" s="240"/>
      <c r="C16" s="240"/>
      <c r="D16" s="240"/>
      <c r="E16" s="240"/>
      <c r="F16" s="240"/>
      <c r="G16" s="242"/>
      <c r="H16" s="244"/>
      <c r="I16" s="226"/>
      <c r="J16" s="223"/>
      <c r="K16" s="223"/>
      <c r="L16" s="226"/>
      <c r="M16" s="223"/>
      <c r="N16" s="219"/>
      <c r="O16" s="226"/>
      <c r="P16" s="223"/>
      <c r="Q16" s="219"/>
      <c r="R16" s="223"/>
      <c r="S16" s="223"/>
      <c r="T16" s="226"/>
      <c r="U16" s="219"/>
      <c r="V16" s="223"/>
      <c r="W16" s="223"/>
      <c r="X16" s="226"/>
      <c r="Y16" s="219"/>
      <c r="Z16" s="229"/>
      <c r="AA16" s="219"/>
      <c r="AB16" s="219"/>
      <c r="AC16" s="232"/>
      <c r="AD16" s="220"/>
    </row>
    <row r="17" spans="1:30 16384:16384" ht="52.5" customHeight="1" x14ac:dyDescent="0.25">
      <c r="A17" s="61">
        <v>1</v>
      </c>
      <c r="B17" s="61">
        <v>2</v>
      </c>
      <c r="C17" s="62">
        <v>3</v>
      </c>
      <c r="D17" s="61">
        <v>4</v>
      </c>
      <c r="E17" s="61">
        <v>5</v>
      </c>
      <c r="F17" s="61">
        <v>6</v>
      </c>
      <c r="G17" s="61" t="s">
        <v>144</v>
      </c>
      <c r="H17" s="61">
        <v>8</v>
      </c>
      <c r="I17" s="61">
        <v>9</v>
      </c>
      <c r="J17" s="61" t="s">
        <v>145</v>
      </c>
      <c r="K17" s="61">
        <v>11</v>
      </c>
      <c r="L17" s="61" t="s">
        <v>146</v>
      </c>
      <c r="M17" s="63" t="s">
        <v>147</v>
      </c>
      <c r="N17" s="61" t="s">
        <v>148</v>
      </c>
      <c r="O17" s="61">
        <v>15</v>
      </c>
      <c r="P17" s="61" t="s">
        <v>149</v>
      </c>
      <c r="Q17" s="61" t="s">
        <v>150</v>
      </c>
      <c r="R17" s="61">
        <v>18</v>
      </c>
      <c r="S17" s="61" t="s">
        <v>151</v>
      </c>
      <c r="T17" s="61" t="s">
        <v>152</v>
      </c>
      <c r="U17" s="61">
        <v>21</v>
      </c>
      <c r="V17" s="61">
        <v>22</v>
      </c>
      <c r="W17" s="61">
        <v>23</v>
      </c>
      <c r="X17" s="61" t="s">
        <v>153</v>
      </c>
      <c r="Y17" s="61">
        <v>25</v>
      </c>
      <c r="Z17" s="61">
        <v>26</v>
      </c>
      <c r="AA17" s="61">
        <v>27</v>
      </c>
      <c r="AB17" s="61" t="s">
        <v>154</v>
      </c>
      <c r="AC17" s="64" t="s">
        <v>155</v>
      </c>
      <c r="AD17" s="61">
        <v>30</v>
      </c>
      <c r="XFD17">
        <f>SUM(A17:XFC17)</f>
        <v>256</v>
      </c>
    </row>
    <row r="18" spans="1:30 16384:16384" ht="25.5" x14ac:dyDescent="0.25">
      <c r="A18" s="65">
        <v>1</v>
      </c>
      <c r="B18" s="24" t="s">
        <v>27</v>
      </c>
      <c r="C18" s="66">
        <v>95</v>
      </c>
      <c r="D18" s="67">
        <v>100</v>
      </c>
      <c r="E18" s="68">
        <v>115</v>
      </c>
      <c r="F18" s="68">
        <v>65</v>
      </c>
      <c r="G18" s="69">
        <v>375</v>
      </c>
      <c r="H18" s="70">
        <v>39765.375999999997</v>
      </c>
      <c r="I18" s="70">
        <v>39736.259989999999</v>
      </c>
      <c r="J18" s="70">
        <v>29.116009999997914</v>
      </c>
      <c r="K18" s="70">
        <v>0.18536000000033528</v>
      </c>
      <c r="L18" s="71">
        <v>28.930649999997577</v>
      </c>
      <c r="M18" s="67">
        <v>0</v>
      </c>
      <c r="N18" s="72">
        <v>0</v>
      </c>
      <c r="O18" s="70">
        <v>9.3022500000000008</v>
      </c>
      <c r="P18" s="67">
        <v>0</v>
      </c>
      <c r="Q18" s="72">
        <v>0</v>
      </c>
      <c r="R18" s="73">
        <v>10350.599990000002</v>
      </c>
      <c r="S18" s="70">
        <v>9795.2199999999993</v>
      </c>
      <c r="T18" s="71">
        <v>5.6699082817946218</v>
      </c>
      <c r="U18" s="74">
        <v>10</v>
      </c>
      <c r="V18" s="73">
        <v>462.31869</v>
      </c>
      <c r="W18" s="73">
        <v>430.73385999999999</v>
      </c>
      <c r="X18" s="71">
        <v>-6.8318306577655363</v>
      </c>
      <c r="Y18" s="74">
        <v>5</v>
      </c>
      <c r="Z18" s="74">
        <v>5</v>
      </c>
      <c r="AA18" s="74">
        <v>10</v>
      </c>
      <c r="AB18" s="74">
        <v>123.75</v>
      </c>
      <c r="AC18" s="75">
        <v>1.7429577464788732</v>
      </c>
      <c r="AD18" s="76" t="s">
        <v>106</v>
      </c>
    </row>
    <row r="19" spans="1:30 16384:16384" ht="25.5" x14ac:dyDescent="0.25">
      <c r="A19" s="65">
        <v>2</v>
      </c>
      <c r="B19" s="24" t="s">
        <v>28</v>
      </c>
      <c r="C19" s="66">
        <v>95</v>
      </c>
      <c r="D19" s="67">
        <v>80</v>
      </c>
      <c r="E19" s="68">
        <v>115</v>
      </c>
      <c r="F19" s="68">
        <v>65</v>
      </c>
      <c r="G19" s="69">
        <v>355</v>
      </c>
      <c r="H19" s="70">
        <v>21515.7474</v>
      </c>
      <c r="I19" s="70">
        <v>21467.66302</v>
      </c>
      <c r="J19" s="70">
        <v>48.084380000000237</v>
      </c>
      <c r="K19" s="70">
        <v>0.40620000000018625</v>
      </c>
      <c r="L19" s="71">
        <v>47.678180000000054</v>
      </c>
      <c r="M19" s="67">
        <v>0</v>
      </c>
      <c r="N19" s="72">
        <v>0</v>
      </c>
      <c r="O19" s="70">
        <v>55.55151</v>
      </c>
      <c r="P19" s="67">
        <v>0.3</v>
      </c>
      <c r="Q19" s="72">
        <v>3</v>
      </c>
      <c r="R19" s="73">
        <v>6309.4381800000001</v>
      </c>
      <c r="S19" s="70">
        <v>5052.7416133333327</v>
      </c>
      <c r="T19" s="71">
        <v>24.87157790436893</v>
      </c>
      <c r="U19" s="74">
        <v>10</v>
      </c>
      <c r="V19" s="73">
        <v>458.84634999999997</v>
      </c>
      <c r="W19" s="73">
        <v>628.84027000000003</v>
      </c>
      <c r="X19" s="71">
        <v>37.048114254368606</v>
      </c>
      <c r="Y19" s="74">
        <v>0</v>
      </c>
      <c r="Z19" s="74">
        <v>5</v>
      </c>
      <c r="AA19" s="74">
        <v>10</v>
      </c>
      <c r="AB19" s="74">
        <v>110.75</v>
      </c>
      <c r="AC19" s="75">
        <v>1.5598591549295775</v>
      </c>
      <c r="AD19" s="76" t="s">
        <v>108</v>
      </c>
    </row>
    <row r="20" spans="1:30 16384:16384" ht="25.5" x14ac:dyDescent="0.25">
      <c r="A20" s="65">
        <v>3</v>
      </c>
      <c r="B20" s="24" t="s">
        <v>29</v>
      </c>
      <c r="C20" s="66">
        <v>95</v>
      </c>
      <c r="D20" s="67">
        <v>100</v>
      </c>
      <c r="E20" s="68">
        <v>115</v>
      </c>
      <c r="F20" s="68">
        <v>65</v>
      </c>
      <c r="G20" s="69">
        <v>375</v>
      </c>
      <c r="H20" s="70">
        <v>44353.294999999998</v>
      </c>
      <c r="I20" s="70">
        <v>44265.946929999998</v>
      </c>
      <c r="J20" s="70">
        <v>87.348070000000007</v>
      </c>
      <c r="K20" s="70">
        <v>47.489320000000298</v>
      </c>
      <c r="L20" s="71">
        <v>39.858749999999709</v>
      </c>
      <c r="M20" s="67">
        <v>0</v>
      </c>
      <c r="N20" s="72">
        <v>0</v>
      </c>
      <c r="O20" s="70">
        <v>3.7959200000000002</v>
      </c>
      <c r="P20" s="67">
        <v>0</v>
      </c>
      <c r="Q20" s="72">
        <v>0</v>
      </c>
      <c r="R20" s="73">
        <v>12385.78693</v>
      </c>
      <c r="S20" s="70">
        <v>10626.72</v>
      </c>
      <c r="T20" s="71">
        <v>16.553244368911582</v>
      </c>
      <c r="U20" s="74">
        <v>10</v>
      </c>
      <c r="V20" s="73">
        <v>153.92282999999998</v>
      </c>
      <c r="W20" s="73">
        <v>152.30233999999999</v>
      </c>
      <c r="X20" s="71">
        <v>-1.0527937928376121</v>
      </c>
      <c r="Y20" s="74">
        <v>5</v>
      </c>
      <c r="Z20" s="74">
        <v>5</v>
      </c>
      <c r="AA20" s="74">
        <v>10</v>
      </c>
      <c r="AB20" s="74">
        <v>123.75</v>
      </c>
      <c r="AC20" s="75">
        <v>1.7429577464788732</v>
      </c>
      <c r="AD20" s="76" t="s">
        <v>106</v>
      </c>
    </row>
    <row r="21" spans="1:30 16384:16384" ht="25.5" x14ac:dyDescent="0.25">
      <c r="A21" s="65">
        <v>4</v>
      </c>
      <c r="B21" s="24" t="s">
        <v>30</v>
      </c>
      <c r="C21" s="66">
        <v>65</v>
      </c>
      <c r="D21" s="67">
        <v>80</v>
      </c>
      <c r="E21" s="68">
        <v>95</v>
      </c>
      <c r="F21" s="68">
        <v>65</v>
      </c>
      <c r="G21" s="69">
        <v>305</v>
      </c>
      <c r="H21" s="70">
        <v>16689.113000000001</v>
      </c>
      <c r="I21" s="70">
        <v>16645.79032</v>
      </c>
      <c r="J21" s="70">
        <v>43.322680000001128</v>
      </c>
      <c r="K21" s="70">
        <v>3.141910000000149</v>
      </c>
      <c r="L21" s="71">
        <v>40.180770000000976</v>
      </c>
      <c r="M21" s="67">
        <v>0</v>
      </c>
      <c r="N21" s="72">
        <v>0</v>
      </c>
      <c r="O21" s="70">
        <v>2.2733000000000003</v>
      </c>
      <c r="P21" s="67">
        <v>0</v>
      </c>
      <c r="Q21" s="72">
        <v>0</v>
      </c>
      <c r="R21" s="73">
        <v>5724.4756400000006</v>
      </c>
      <c r="S21" s="70">
        <v>3640.4382266666667</v>
      </c>
      <c r="T21" s="71">
        <v>57.246883028188712</v>
      </c>
      <c r="U21" s="74">
        <v>0</v>
      </c>
      <c r="V21" s="73">
        <v>8.4682499999999994</v>
      </c>
      <c r="W21" s="73">
        <v>12.259819999999999</v>
      </c>
      <c r="X21" s="71">
        <v>44.773949753490989</v>
      </c>
      <c r="Y21" s="74">
        <v>0</v>
      </c>
      <c r="Z21" s="74">
        <v>5</v>
      </c>
      <c r="AA21" s="74">
        <v>10</v>
      </c>
      <c r="AB21" s="74">
        <v>91.25</v>
      </c>
      <c r="AC21" s="75">
        <v>1.2852112676056338</v>
      </c>
      <c r="AD21" s="76" t="s">
        <v>107</v>
      </c>
    </row>
    <row r="22" spans="1:30 16384:16384" ht="25.5" x14ac:dyDescent="0.25">
      <c r="A22" s="65">
        <v>5</v>
      </c>
      <c r="B22" s="24" t="s">
        <v>31</v>
      </c>
      <c r="C22" s="66">
        <v>95</v>
      </c>
      <c r="D22" s="67">
        <v>115</v>
      </c>
      <c r="E22" s="68">
        <v>115</v>
      </c>
      <c r="F22" s="68">
        <v>65</v>
      </c>
      <c r="G22" s="69">
        <v>390</v>
      </c>
      <c r="H22" s="70">
        <v>15948.752400000001</v>
      </c>
      <c r="I22" s="70">
        <v>15938.230800000001</v>
      </c>
      <c r="J22" s="70">
        <v>10.521600000000035</v>
      </c>
      <c r="K22" s="70">
        <v>0</v>
      </c>
      <c r="L22" s="71">
        <v>10.521600000000035</v>
      </c>
      <c r="M22" s="67">
        <v>0</v>
      </c>
      <c r="N22" s="72">
        <v>0</v>
      </c>
      <c r="O22" s="70">
        <v>2.5428999999999999</v>
      </c>
      <c r="P22" s="67">
        <v>0</v>
      </c>
      <c r="Q22" s="72">
        <v>0</v>
      </c>
      <c r="R22" s="73">
        <v>4301.6308000000008</v>
      </c>
      <c r="S22" s="70">
        <v>3878.8666666666668</v>
      </c>
      <c r="T22" s="71">
        <v>10.899166423182047</v>
      </c>
      <c r="U22" s="74">
        <v>10</v>
      </c>
      <c r="V22" s="73">
        <v>4.4497499999999999</v>
      </c>
      <c r="W22" s="73">
        <v>8.8896700000000006</v>
      </c>
      <c r="X22" s="71">
        <v>99.779088712849045</v>
      </c>
      <c r="Y22" s="74">
        <v>0</v>
      </c>
      <c r="Z22" s="74">
        <v>5</v>
      </c>
      <c r="AA22" s="74">
        <v>10</v>
      </c>
      <c r="AB22" s="74">
        <v>122.5</v>
      </c>
      <c r="AC22" s="75">
        <v>1.7253521126760563</v>
      </c>
      <c r="AD22" s="76" t="s">
        <v>106</v>
      </c>
    </row>
    <row r="23" spans="1:30 16384:16384" ht="25.5" x14ac:dyDescent="0.25">
      <c r="A23" s="65">
        <v>6</v>
      </c>
      <c r="B23" s="24" t="s">
        <v>32</v>
      </c>
      <c r="C23" s="66">
        <v>95</v>
      </c>
      <c r="D23" s="67">
        <v>115</v>
      </c>
      <c r="E23" s="68">
        <v>115</v>
      </c>
      <c r="F23" s="68">
        <v>55</v>
      </c>
      <c r="G23" s="69">
        <v>380</v>
      </c>
      <c r="H23" s="70">
        <v>17539.364399999999</v>
      </c>
      <c r="I23" s="70">
        <v>17530.387910000001</v>
      </c>
      <c r="J23" s="70">
        <v>8.976489999997284</v>
      </c>
      <c r="K23" s="70">
        <v>3.468999999994412E-2</v>
      </c>
      <c r="L23" s="71">
        <v>8.9417999999973397</v>
      </c>
      <c r="M23" s="67">
        <v>0</v>
      </c>
      <c r="N23" s="72">
        <v>0</v>
      </c>
      <c r="O23" s="70">
        <v>0</v>
      </c>
      <c r="P23" s="67">
        <v>0</v>
      </c>
      <c r="Q23" s="72">
        <v>0</v>
      </c>
      <c r="R23" s="73">
        <v>5138.7279100000005</v>
      </c>
      <c r="S23" s="70">
        <v>4130.5533333333333</v>
      </c>
      <c r="T23" s="71">
        <v>24.407736574437983</v>
      </c>
      <c r="U23" s="74">
        <v>10</v>
      </c>
      <c r="V23" s="73">
        <v>65.576789999999988</v>
      </c>
      <c r="W23" s="73">
        <v>93.298059999999992</v>
      </c>
      <c r="X23" s="71">
        <v>42.272990184484492</v>
      </c>
      <c r="Y23" s="74">
        <v>0</v>
      </c>
      <c r="Z23" s="74">
        <v>5</v>
      </c>
      <c r="AA23" s="74">
        <v>10</v>
      </c>
      <c r="AB23" s="74">
        <v>120</v>
      </c>
      <c r="AC23" s="75">
        <v>1.6901408450704225</v>
      </c>
      <c r="AD23" s="76" t="s">
        <v>106</v>
      </c>
    </row>
    <row r="24" spans="1:30 16384:16384" ht="25.5" x14ac:dyDescent="0.25">
      <c r="A24" s="65">
        <v>7</v>
      </c>
      <c r="B24" s="24" t="s">
        <v>33</v>
      </c>
      <c r="C24" s="66">
        <v>80</v>
      </c>
      <c r="D24" s="67">
        <v>85</v>
      </c>
      <c r="E24" s="68">
        <v>115</v>
      </c>
      <c r="F24" s="68">
        <v>65</v>
      </c>
      <c r="G24" s="69">
        <v>345</v>
      </c>
      <c r="H24" s="70">
        <v>18333.123600000003</v>
      </c>
      <c r="I24" s="70">
        <v>18324.08942</v>
      </c>
      <c r="J24" s="70">
        <v>9.0341800000023795</v>
      </c>
      <c r="K24" s="70">
        <v>0</v>
      </c>
      <c r="L24" s="71">
        <v>9.0341800000023795</v>
      </c>
      <c r="M24" s="67">
        <v>0</v>
      </c>
      <c r="N24" s="72">
        <v>0</v>
      </c>
      <c r="O24" s="70">
        <v>4.1205800000000004</v>
      </c>
      <c r="P24" s="67">
        <v>0</v>
      </c>
      <c r="Q24" s="72">
        <v>0</v>
      </c>
      <c r="R24" s="73">
        <v>5079.6024500000012</v>
      </c>
      <c r="S24" s="70">
        <v>4414.8289899999991</v>
      </c>
      <c r="T24" s="71">
        <v>15.057739756302594</v>
      </c>
      <c r="U24" s="74">
        <v>10</v>
      </c>
      <c r="V24" s="73">
        <v>537.86405000000002</v>
      </c>
      <c r="W24" s="73">
        <v>636.15368999999998</v>
      </c>
      <c r="X24" s="71">
        <v>18.274067582691195</v>
      </c>
      <c r="Y24" s="74">
        <v>0</v>
      </c>
      <c r="Z24" s="74">
        <v>5</v>
      </c>
      <c r="AA24" s="74">
        <v>10</v>
      </c>
      <c r="AB24" s="74">
        <v>111.25</v>
      </c>
      <c r="AC24" s="75">
        <v>1.5669014084507042</v>
      </c>
      <c r="AD24" s="76" t="s">
        <v>108</v>
      </c>
    </row>
    <row r="25" spans="1:30 16384:16384" ht="25.5" x14ac:dyDescent="0.25">
      <c r="A25" s="65">
        <v>8</v>
      </c>
      <c r="B25" s="24" t="s">
        <v>34</v>
      </c>
      <c r="C25" s="66">
        <v>65</v>
      </c>
      <c r="D25" s="67">
        <v>100</v>
      </c>
      <c r="E25" s="68">
        <v>115</v>
      </c>
      <c r="F25" s="68">
        <v>65</v>
      </c>
      <c r="G25" s="69">
        <v>345</v>
      </c>
      <c r="H25" s="70">
        <v>30289.304199999999</v>
      </c>
      <c r="I25" s="70">
        <v>30258.092670000002</v>
      </c>
      <c r="J25" s="70">
        <v>31.211529999996856</v>
      </c>
      <c r="K25" s="70">
        <v>8.6771200000001123</v>
      </c>
      <c r="L25" s="71">
        <v>22.534409999996743</v>
      </c>
      <c r="M25" s="67">
        <v>0</v>
      </c>
      <c r="N25" s="72">
        <v>0</v>
      </c>
      <c r="O25" s="70">
        <v>0.82763999999999993</v>
      </c>
      <c r="P25" s="67">
        <v>0</v>
      </c>
      <c r="Q25" s="72">
        <v>0</v>
      </c>
      <c r="R25" s="73">
        <v>8923.4226700000017</v>
      </c>
      <c r="S25" s="70">
        <v>7111.5566666666664</v>
      </c>
      <c r="T25" s="71">
        <v>25.477769330390419</v>
      </c>
      <c r="U25" s="74">
        <v>0</v>
      </c>
      <c r="V25" s="73">
        <v>98.337029999999999</v>
      </c>
      <c r="W25" s="73">
        <v>353.80970000000002</v>
      </c>
      <c r="X25" s="71">
        <v>259.79294880067056</v>
      </c>
      <c r="Y25" s="74">
        <v>0</v>
      </c>
      <c r="Z25" s="74">
        <v>5</v>
      </c>
      <c r="AA25" s="74">
        <v>10</v>
      </c>
      <c r="AB25" s="74">
        <v>101.25</v>
      </c>
      <c r="AC25" s="75">
        <v>1.426056338028169</v>
      </c>
      <c r="AD25" s="76" t="s">
        <v>107</v>
      </c>
    </row>
    <row r="26" spans="1:30 16384:16384" ht="25.5" x14ac:dyDescent="0.25">
      <c r="A26" s="65">
        <v>9</v>
      </c>
      <c r="B26" s="24" t="s">
        <v>35</v>
      </c>
      <c r="C26" s="66">
        <v>40</v>
      </c>
      <c r="D26" s="67">
        <v>65</v>
      </c>
      <c r="E26" s="68">
        <v>95</v>
      </c>
      <c r="F26" s="68">
        <v>50</v>
      </c>
      <c r="G26" s="69">
        <v>250</v>
      </c>
      <c r="H26" s="70">
        <v>25437.15739</v>
      </c>
      <c r="I26" s="70">
        <v>25353.718140000001</v>
      </c>
      <c r="J26" s="70">
        <v>83.439249999999447</v>
      </c>
      <c r="K26" s="70">
        <v>0</v>
      </c>
      <c r="L26" s="71">
        <v>83.439249999999447</v>
      </c>
      <c r="M26" s="67">
        <v>0</v>
      </c>
      <c r="N26" s="72">
        <v>0</v>
      </c>
      <c r="O26" s="70">
        <v>107.31147999999999</v>
      </c>
      <c r="P26" s="67">
        <v>0.4</v>
      </c>
      <c r="Q26" s="72">
        <v>4</v>
      </c>
      <c r="R26" s="73">
        <v>9853.5591300000015</v>
      </c>
      <c r="S26" s="70">
        <v>5166.7196699999995</v>
      </c>
      <c r="T26" s="71">
        <v>90.712091217443628</v>
      </c>
      <c r="U26" s="74">
        <v>0</v>
      </c>
      <c r="V26" s="73">
        <v>710.4692</v>
      </c>
      <c r="W26" s="73">
        <v>958.37304000000006</v>
      </c>
      <c r="X26" s="71">
        <v>34.892974952327286</v>
      </c>
      <c r="Y26" s="74">
        <v>0</v>
      </c>
      <c r="Z26" s="74">
        <v>5</v>
      </c>
      <c r="AA26" s="74">
        <v>10</v>
      </c>
      <c r="AB26" s="74">
        <v>73.5</v>
      </c>
      <c r="AC26" s="75">
        <v>1.0352112676056338</v>
      </c>
      <c r="AD26" s="77" t="s">
        <v>104</v>
      </c>
    </row>
    <row r="27" spans="1:30 16384:16384" ht="25.5" x14ac:dyDescent="0.25">
      <c r="A27" s="65">
        <v>10</v>
      </c>
      <c r="B27" s="24" t="s">
        <v>36</v>
      </c>
      <c r="C27" s="66">
        <v>85</v>
      </c>
      <c r="D27" s="67">
        <v>80</v>
      </c>
      <c r="E27" s="68">
        <v>115</v>
      </c>
      <c r="F27" s="68">
        <v>65</v>
      </c>
      <c r="G27" s="69">
        <v>345</v>
      </c>
      <c r="H27" s="70">
        <v>24941.230399999997</v>
      </c>
      <c r="I27" s="70">
        <v>24880.35943</v>
      </c>
      <c r="J27" s="70">
        <v>60.870969999996305</v>
      </c>
      <c r="K27" s="70">
        <v>0.19287000000011176</v>
      </c>
      <c r="L27" s="71">
        <v>60.678099999996192</v>
      </c>
      <c r="M27" s="67">
        <v>0</v>
      </c>
      <c r="N27" s="72">
        <v>0</v>
      </c>
      <c r="O27" s="70">
        <v>0</v>
      </c>
      <c r="P27" s="67">
        <v>0</v>
      </c>
      <c r="Q27" s="72">
        <v>0</v>
      </c>
      <c r="R27" s="73">
        <v>7377.4994299999998</v>
      </c>
      <c r="S27" s="70">
        <v>5834.2866666666669</v>
      </c>
      <c r="T27" s="71">
        <v>26.45075313405923</v>
      </c>
      <c r="U27" s="74">
        <v>0</v>
      </c>
      <c r="V27" s="73">
        <v>11.92816</v>
      </c>
      <c r="W27" s="73">
        <v>10.29603</v>
      </c>
      <c r="X27" s="71">
        <v>-13.682998886668187</v>
      </c>
      <c r="Y27" s="74">
        <v>5</v>
      </c>
      <c r="Z27" s="74">
        <v>5</v>
      </c>
      <c r="AA27" s="74">
        <v>10</v>
      </c>
      <c r="AB27" s="74">
        <v>106.25</v>
      </c>
      <c r="AC27" s="75">
        <v>1.4964788732394365</v>
      </c>
      <c r="AD27" s="76" t="s">
        <v>108</v>
      </c>
    </row>
    <row r="28" spans="1:30 16384:16384" ht="15.75" x14ac:dyDescent="0.25">
      <c r="A28" s="65">
        <v>11</v>
      </c>
      <c r="B28" s="24" t="s">
        <v>156</v>
      </c>
      <c r="C28" s="66">
        <v>80</v>
      </c>
      <c r="D28" s="67">
        <v>85</v>
      </c>
      <c r="E28" s="68">
        <v>110</v>
      </c>
      <c r="F28" s="68">
        <v>60</v>
      </c>
      <c r="G28" s="69">
        <v>335</v>
      </c>
      <c r="H28" s="70">
        <v>77550.730750000002</v>
      </c>
      <c r="I28" s="70">
        <v>77168.221579999998</v>
      </c>
      <c r="J28" s="70">
        <v>382.50917000000481</v>
      </c>
      <c r="K28" s="70">
        <v>17.8004299999997</v>
      </c>
      <c r="L28" s="71">
        <v>364.70874000000509</v>
      </c>
      <c r="M28" s="67">
        <v>0</v>
      </c>
      <c r="N28" s="72">
        <v>0</v>
      </c>
      <c r="O28" s="70">
        <v>3.2077399999999998</v>
      </c>
      <c r="P28" s="67">
        <v>0</v>
      </c>
      <c r="Q28" s="72">
        <v>0</v>
      </c>
      <c r="R28" s="73">
        <v>23029.523069999999</v>
      </c>
      <c r="S28" s="70">
        <v>18046.232836666666</v>
      </c>
      <c r="T28" s="71">
        <v>27.614019382528376</v>
      </c>
      <c r="U28" s="74">
        <v>0</v>
      </c>
      <c r="V28" s="73">
        <v>1142.6395600000001</v>
      </c>
      <c r="W28" s="73">
        <v>907.25572999999997</v>
      </c>
      <c r="X28" s="71">
        <v>-20.600007057343621</v>
      </c>
      <c r="Y28" s="74">
        <v>5</v>
      </c>
      <c r="Z28" s="74">
        <v>5</v>
      </c>
      <c r="AA28" s="74">
        <v>10</v>
      </c>
      <c r="AB28" s="74">
        <v>103.75</v>
      </c>
      <c r="AC28" s="75">
        <v>1.4612676056338028</v>
      </c>
      <c r="AD28" s="76" t="s">
        <v>108</v>
      </c>
    </row>
    <row r="29" spans="1:30 16384:16384" ht="25.5" x14ac:dyDescent="0.25">
      <c r="A29" s="65">
        <v>12</v>
      </c>
      <c r="B29" s="24" t="s">
        <v>39</v>
      </c>
      <c r="C29" s="66">
        <v>85</v>
      </c>
      <c r="D29" s="67">
        <v>65</v>
      </c>
      <c r="E29" s="68">
        <v>115</v>
      </c>
      <c r="F29" s="68">
        <v>65</v>
      </c>
      <c r="G29" s="69">
        <v>330</v>
      </c>
      <c r="H29" s="70">
        <v>19400.420870000002</v>
      </c>
      <c r="I29" s="70">
        <v>19340.578160000001</v>
      </c>
      <c r="J29" s="70">
        <v>59.842710000000807</v>
      </c>
      <c r="K29" s="70">
        <v>1.9479900000002235</v>
      </c>
      <c r="L29" s="71">
        <v>57.894720000000582</v>
      </c>
      <c r="M29" s="67">
        <v>0</v>
      </c>
      <c r="N29" s="72">
        <v>0</v>
      </c>
      <c r="O29" s="70">
        <v>0</v>
      </c>
      <c r="P29" s="67">
        <v>0</v>
      </c>
      <c r="Q29" s="72">
        <v>0</v>
      </c>
      <c r="R29" s="73">
        <v>5276.6259099999997</v>
      </c>
      <c r="S29" s="70">
        <v>4687.9840833333337</v>
      </c>
      <c r="T29" s="71">
        <v>12.55639558929815</v>
      </c>
      <c r="U29" s="74">
        <v>10</v>
      </c>
      <c r="V29" s="73">
        <v>564.73371999999995</v>
      </c>
      <c r="W29" s="73">
        <v>636.17764999999997</v>
      </c>
      <c r="X29" s="71">
        <v>12.650905633897693</v>
      </c>
      <c r="Y29" s="74">
        <v>0</v>
      </c>
      <c r="Z29" s="74">
        <v>5</v>
      </c>
      <c r="AA29" s="74">
        <v>10</v>
      </c>
      <c r="AB29" s="74">
        <v>107.5</v>
      </c>
      <c r="AC29" s="75">
        <v>1.5140845070422535</v>
      </c>
      <c r="AD29" s="76" t="s">
        <v>108</v>
      </c>
    </row>
    <row r="30" spans="1:30 16384:16384" ht="25.5" x14ac:dyDescent="0.25">
      <c r="A30" s="65">
        <v>13</v>
      </c>
      <c r="B30" s="24" t="s">
        <v>40</v>
      </c>
      <c r="C30" s="66">
        <v>95</v>
      </c>
      <c r="D30" s="67">
        <v>100</v>
      </c>
      <c r="E30" s="68">
        <v>110</v>
      </c>
      <c r="F30" s="68">
        <v>65</v>
      </c>
      <c r="G30" s="69">
        <v>370</v>
      </c>
      <c r="H30" s="70">
        <v>13749.328</v>
      </c>
      <c r="I30" s="70">
        <v>13747.45659</v>
      </c>
      <c r="J30" s="70">
        <v>1.8714099999997416</v>
      </c>
      <c r="K30" s="70">
        <v>0</v>
      </c>
      <c r="L30" s="71">
        <v>1.8714099999997416</v>
      </c>
      <c r="M30" s="67">
        <v>0</v>
      </c>
      <c r="N30" s="72">
        <v>0</v>
      </c>
      <c r="O30" s="70">
        <v>0</v>
      </c>
      <c r="P30" s="67">
        <v>0</v>
      </c>
      <c r="Q30" s="72">
        <v>0</v>
      </c>
      <c r="R30" s="73">
        <v>4087.19659</v>
      </c>
      <c r="S30" s="70">
        <v>3220.0866666666666</v>
      </c>
      <c r="T30" s="71">
        <v>26.928154832271602</v>
      </c>
      <c r="U30" s="74">
        <v>0</v>
      </c>
      <c r="V30" s="73">
        <v>6.7843599999999995</v>
      </c>
      <c r="W30" s="73">
        <v>3.8757800000000002</v>
      </c>
      <c r="X30" s="71">
        <v>-42.871840527330498</v>
      </c>
      <c r="Y30" s="74">
        <v>5</v>
      </c>
      <c r="Z30" s="74">
        <v>5</v>
      </c>
      <c r="AA30" s="74">
        <v>10</v>
      </c>
      <c r="AB30" s="74">
        <v>112.5</v>
      </c>
      <c r="AC30" s="75">
        <v>1.5845070422535212</v>
      </c>
      <c r="AD30" s="76" t="s">
        <v>108</v>
      </c>
    </row>
    <row r="31" spans="1:30 16384:16384" ht="25.5" x14ac:dyDescent="0.25">
      <c r="A31" s="65">
        <v>14</v>
      </c>
      <c r="B31" s="25" t="s">
        <v>41</v>
      </c>
      <c r="C31" s="66">
        <v>85</v>
      </c>
      <c r="D31" s="67">
        <v>85</v>
      </c>
      <c r="E31" s="68">
        <v>115</v>
      </c>
      <c r="F31" s="68">
        <v>65</v>
      </c>
      <c r="G31" s="69">
        <v>350</v>
      </c>
      <c r="H31" s="70">
        <v>49415.737999999998</v>
      </c>
      <c r="I31" s="70">
        <v>49290.515939999997</v>
      </c>
      <c r="J31" s="70">
        <v>125.22206000000006</v>
      </c>
      <c r="K31" s="70">
        <v>6.1307400000002232</v>
      </c>
      <c r="L31" s="71">
        <v>119.09131999999983</v>
      </c>
      <c r="M31" s="67">
        <v>0</v>
      </c>
      <c r="N31" s="72">
        <v>0</v>
      </c>
      <c r="O31" s="70">
        <v>0</v>
      </c>
      <c r="P31" s="67">
        <v>0</v>
      </c>
      <c r="Q31" s="72">
        <v>0</v>
      </c>
      <c r="R31" s="73">
        <v>13604.92821</v>
      </c>
      <c r="S31" s="70">
        <v>11895.19591</v>
      </c>
      <c r="T31" s="71">
        <v>14.373300893368807</v>
      </c>
      <c r="U31" s="74">
        <v>10</v>
      </c>
      <c r="V31" s="73">
        <v>1338.0543300000002</v>
      </c>
      <c r="W31" s="73">
        <v>1318.9601100000002</v>
      </c>
      <c r="X31" s="71">
        <v>-1.4270138044394616</v>
      </c>
      <c r="Y31" s="74">
        <v>5</v>
      </c>
      <c r="Z31" s="74">
        <v>5</v>
      </c>
      <c r="AA31" s="74">
        <v>10</v>
      </c>
      <c r="AB31" s="74">
        <v>117.5</v>
      </c>
      <c r="AC31" s="75">
        <v>1.6549295774647887</v>
      </c>
      <c r="AD31" s="76" t="s">
        <v>106</v>
      </c>
    </row>
    <row r="32" spans="1:30 16384:16384" ht="25.5" x14ac:dyDescent="0.25">
      <c r="A32" s="65">
        <v>15</v>
      </c>
      <c r="B32" s="24" t="s">
        <v>42</v>
      </c>
      <c r="C32" s="66">
        <v>55</v>
      </c>
      <c r="D32" s="67">
        <v>80</v>
      </c>
      <c r="E32" s="68">
        <v>115</v>
      </c>
      <c r="F32" s="68">
        <v>65</v>
      </c>
      <c r="G32" s="69">
        <v>315</v>
      </c>
      <c r="H32" s="70">
        <v>11746.8539</v>
      </c>
      <c r="I32" s="70">
        <v>11695.87609</v>
      </c>
      <c r="J32" s="70">
        <v>50.977810000000318</v>
      </c>
      <c r="K32" s="70">
        <v>0.64203000000002797</v>
      </c>
      <c r="L32" s="71">
        <v>50.335780000000291</v>
      </c>
      <c r="M32" s="67">
        <v>0</v>
      </c>
      <c r="N32" s="72">
        <v>0</v>
      </c>
      <c r="O32" s="70">
        <v>4.8946000000000005</v>
      </c>
      <c r="P32" s="67">
        <v>0</v>
      </c>
      <c r="Q32" s="72">
        <v>0</v>
      </c>
      <c r="R32" s="73">
        <v>3478.5061499999993</v>
      </c>
      <c r="S32" s="70">
        <v>2739.1233133333335</v>
      </c>
      <c r="T32" s="71">
        <v>26.99341183609895</v>
      </c>
      <c r="U32" s="74">
        <v>0</v>
      </c>
      <c r="V32" s="73">
        <v>16.54148</v>
      </c>
      <c r="W32" s="73">
        <v>24.70487</v>
      </c>
      <c r="X32" s="71">
        <v>49.351025422150855</v>
      </c>
      <c r="Y32" s="74">
        <v>0</v>
      </c>
      <c r="Z32" s="74">
        <v>5</v>
      </c>
      <c r="AA32" s="74">
        <v>10</v>
      </c>
      <c r="AB32" s="74">
        <v>93.75</v>
      </c>
      <c r="AC32" s="75">
        <v>1.3204225352112675</v>
      </c>
      <c r="AD32" s="76" t="s">
        <v>107</v>
      </c>
    </row>
    <row r="33" spans="1:30" ht="25.5" x14ac:dyDescent="0.25">
      <c r="A33" s="65">
        <v>16</v>
      </c>
      <c r="B33" s="24" t="s">
        <v>43</v>
      </c>
      <c r="C33" s="66">
        <v>85</v>
      </c>
      <c r="D33" s="67">
        <v>85</v>
      </c>
      <c r="E33" s="68">
        <v>105</v>
      </c>
      <c r="F33" s="68">
        <v>65</v>
      </c>
      <c r="G33" s="69">
        <v>340</v>
      </c>
      <c r="H33" s="70">
        <v>17469.68694</v>
      </c>
      <c r="I33" s="70">
        <v>17349.223320000001</v>
      </c>
      <c r="J33" s="70">
        <v>120.46361999999863</v>
      </c>
      <c r="K33" s="70">
        <v>0</v>
      </c>
      <c r="L33" s="71">
        <v>120.46361999999863</v>
      </c>
      <c r="M33" s="67">
        <v>1</v>
      </c>
      <c r="N33" s="72">
        <v>1</v>
      </c>
      <c r="O33" s="70">
        <v>0</v>
      </c>
      <c r="P33" s="67">
        <v>0</v>
      </c>
      <c r="Q33" s="72">
        <v>0</v>
      </c>
      <c r="R33" s="73">
        <v>4338.76332</v>
      </c>
      <c r="S33" s="70">
        <v>4336.8200000000006</v>
      </c>
      <c r="T33" s="71">
        <v>4.4809791506205073E-2</v>
      </c>
      <c r="U33" s="74">
        <v>10</v>
      </c>
      <c r="V33" s="73">
        <v>384.98464000000001</v>
      </c>
      <c r="W33" s="73">
        <v>467.13929999999999</v>
      </c>
      <c r="X33" s="71">
        <v>21.339724099122495</v>
      </c>
      <c r="Y33" s="74">
        <v>0</v>
      </c>
      <c r="Z33" s="74">
        <v>5</v>
      </c>
      <c r="AA33" s="74">
        <v>10</v>
      </c>
      <c r="AB33" s="74">
        <v>109</v>
      </c>
      <c r="AC33" s="75">
        <v>1.5352112676056338</v>
      </c>
      <c r="AD33" s="76" t="s">
        <v>108</v>
      </c>
    </row>
    <row r="34" spans="1:30" ht="25.5" x14ac:dyDescent="0.25">
      <c r="A34" s="65">
        <v>17</v>
      </c>
      <c r="B34" s="24" t="s">
        <v>44</v>
      </c>
      <c r="C34" s="66">
        <v>85</v>
      </c>
      <c r="D34" s="67">
        <v>100</v>
      </c>
      <c r="E34" s="68">
        <v>115</v>
      </c>
      <c r="F34" s="68">
        <v>55</v>
      </c>
      <c r="G34" s="69">
        <v>355</v>
      </c>
      <c r="H34" s="70">
        <v>12543.630590000001</v>
      </c>
      <c r="I34" s="70">
        <v>12538.366330000001</v>
      </c>
      <c r="J34" s="70">
        <v>5.264259999999922</v>
      </c>
      <c r="K34" s="70">
        <v>0.24925999999977649</v>
      </c>
      <c r="L34" s="71">
        <v>5.0150000000001453</v>
      </c>
      <c r="M34" s="67">
        <v>0</v>
      </c>
      <c r="N34" s="72">
        <v>0</v>
      </c>
      <c r="O34" s="70">
        <v>0</v>
      </c>
      <c r="P34" s="67">
        <v>0</v>
      </c>
      <c r="Q34" s="72">
        <v>0</v>
      </c>
      <c r="R34" s="73">
        <v>3441.9063300000003</v>
      </c>
      <c r="S34" s="70">
        <v>3032.1533333333336</v>
      </c>
      <c r="T34" s="71">
        <v>13.513597487374208</v>
      </c>
      <c r="U34" s="74">
        <v>10</v>
      </c>
      <c r="V34" s="73">
        <v>24.66132</v>
      </c>
      <c r="W34" s="73">
        <v>19.748419999999999</v>
      </c>
      <c r="X34" s="71">
        <v>-19.921480277616936</v>
      </c>
      <c r="Y34" s="74">
        <v>5</v>
      </c>
      <c r="Z34" s="74">
        <v>5</v>
      </c>
      <c r="AA34" s="74">
        <v>10</v>
      </c>
      <c r="AB34" s="74">
        <v>118.75</v>
      </c>
      <c r="AC34" s="75">
        <v>1.6725352112676057</v>
      </c>
      <c r="AD34" s="76" t="s">
        <v>106</v>
      </c>
    </row>
    <row r="35" spans="1:30" ht="25.5" x14ac:dyDescent="0.25">
      <c r="A35" s="65">
        <v>18</v>
      </c>
      <c r="B35" s="24" t="s">
        <v>45</v>
      </c>
      <c r="C35" s="66">
        <v>95</v>
      </c>
      <c r="D35" s="67">
        <v>100</v>
      </c>
      <c r="E35" s="68">
        <v>95</v>
      </c>
      <c r="F35" s="68">
        <v>65</v>
      </c>
      <c r="G35" s="69">
        <v>355</v>
      </c>
      <c r="H35" s="70">
        <v>33911.847000000002</v>
      </c>
      <c r="I35" s="70">
        <v>33845.478320000002</v>
      </c>
      <c r="J35" s="70">
        <v>66.368679999999586</v>
      </c>
      <c r="K35" s="70">
        <v>35.937950000000185</v>
      </c>
      <c r="L35" s="71">
        <v>30.4307299999994</v>
      </c>
      <c r="M35" s="67">
        <v>0</v>
      </c>
      <c r="N35" s="72">
        <v>0</v>
      </c>
      <c r="O35" s="70">
        <v>0</v>
      </c>
      <c r="P35" s="67">
        <v>0</v>
      </c>
      <c r="Q35" s="72">
        <v>0</v>
      </c>
      <c r="R35" s="73">
        <v>11475.485960000002</v>
      </c>
      <c r="S35" s="70">
        <v>7456.6641200000004</v>
      </c>
      <c r="T35" s="71">
        <v>53.895706918337119</v>
      </c>
      <c r="U35" s="74">
        <v>0</v>
      </c>
      <c r="V35" s="73">
        <v>34.295670000000001</v>
      </c>
      <c r="W35" s="73">
        <v>47.038640000000001</v>
      </c>
      <c r="X35" s="71">
        <v>37.156206599841902</v>
      </c>
      <c r="Y35" s="74">
        <v>0</v>
      </c>
      <c r="Z35" s="74">
        <v>5</v>
      </c>
      <c r="AA35" s="74">
        <v>10</v>
      </c>
      <c r="AB35" s="74">
        <v>103.75</v>
      </c>
      <c r="AC35" s="75">
        <v>1.4612676056338028</v>
      </c>
      <c r="AD35" s="76" t="s">
        <v>108</v>
      </c>
    </row>
    <row r="36" spans="1:30" ht="25.5" x14ac:dyDescent="0.25">
      <c r="A36" s="65">
        <v>19</v>
      </c>
      <c r="B36" s="24" t="s">
        <v>46</v>
      </c>
      <c r="C36" s="66">
        <v>95</v>
      </c>
      <c r="D36" s="67">
        <v>100</v>
      </c>
      <c r="E36" s="68">
        <v>115</v>
      </c>
      <c r="F36" s="68">
        <v>65</v>
      </c>
      <c r="G36" s="69">
        <v>375</v>
      </c>
      <c r="H36" s="70">
        <v>11080.578</v>
      </c>
      <c r="I36" s="70">
        <v>11080.39849</v>
      </c>
      <c r="J36" s="70">
        <v>0.17950999999993655</v>
      </c>
      <c r="K36" s="70">
        <v>9.2939999999944123E-2</v>
      </c>
      <c r="L36" s="71">
        <v>8.6569999999992431E-2</v>
      </c>
      <c r="M36" s="67">
        <v>0</v>
      </c>
      <c r="N36" s="72">
        <v>0</v>
      </c>
      <c r="O36" s="70">
        <v>0</v>
      </c>
      <c r="P36" s="67">
        <v>0</v>
      </c>
      <c r="Q36" s="72">
        <v>0</v>
      </c>
      <c r="R36" s="73">
        <v>3075.5104900000001</v>
      </c>
      <c r="S36" s="70">
        <v>2668.2959999999998</v>
      </c>
      <c r="T36" s="71">
        <v>15.26121877033134</v>
      </c>
      <c r="U36" s="74">
        <v>10</v>
      </c>
      <c r="V36" s="73">
        <v>15.992270000000001</v>
      </c>
      <c r="W36" s="73">
        <v>1.38551</v>
      </c>
      <c r="X36" s="71">
        <v>-91.336376887083574</v>
      </c>
      <c r="Y36" s="74">
        <v>5</v>
      </c>
      <c r="Z36" s="74">
        <v>5</v>
      </c>
      <c r="AA36" s="74">
        <v>10</v>
      </c>
      <c r="AB36" s="74">
        <v>123.75</v>
      </c>
      <c r="AC36" s="75">
        <v>1.7429577464788732</v>
      </c>
      <c r="AD36" s="76" t="s">
        <v>106</v>
      </c>
    </row>
    <row r="37" spans="1:30" ht="25.5" x14ac:dyDescent="0.25">
      <c r="A37" s="65">
        <v>20</v>
      </c>
      <c r="B37" s="24" t="s">
        <v>47</v>
      </c>
      <c r="C37" s="66">
        <v>80</v>
      </c>
      <c r="D37" s="67">
        <v>65</v>
      </c>
      <c r="E37" s="68">
        <v>95</v>
      </c>
      <c r="F37" s="68">
        <v>55</v>
      </c>
      <c r="G37" s="69">
        <v>295</v>
      </c>
      <c r="H37" s="70">
        <v>29473.800999999999</v>
      </c>
      <c r="I37" s="70">
        <v>29354.925930000001</v>
      </c>
      <c r="J37" s="70">
        <v>118.87506999999823</v>
      </c>
      <c r="K37" s="70">
        <v>4.9758300000000748</v>
      </c>
      <c r="L37" s="71">
        <v>113.89923999999816</v>
      </c>
      <c r="M37" s="67">
        <v>0</v>
      </c>
      <c r="N37" s="72">
        <v>0</v>
      </c>
      <c r="O37" s="70">
        <v>5.86416</v>
      </c>
      <c r="P37" s="67">
        <v>0</v>
      </c>
      <c r="Q37" s="72">
        <v>0</v>
      </c>
      <c r="R37" s="73">
        <v>8267.6659299999992</v>
      </c>
      <c r="S37" s="70">
        <v>7029.086666666667</v>
      </c>
      <c r="T37" s="71">
        <v>17.620770977357875</v>
      </c>
      <c r="U37" s="74">
        <v>10</v>
      </c>
      <c r="V37" s="73">
        <v>151.05592999999999</v>
      </c>
      <c r="W37" s="73">
        <v>272.24612000000002</v>
      </c>
      <c r="X37" s="71">
        <v>80.228687480193614</v>
      </c>
      <c r="Y37" s="74">
        <v>0</v>
      </c>
      <c r="Z37" s="74">
        <v>5</v>
      </c>
      <c r="AA37" s="74">
        <v>10</v>
      </c>
      <c r="AB37" s="74">
        <v>98.75</v>
      </c>
      <c r="AC37" s="75">
        <v>1.3908450704225352</v>
      </c>
      <c r="AD37" s="76" t="s">
        <v>107</v>
      </c>
    </row>
    <row r="38" spans="1:30" ht="25.5" x14ac:dyDescent="0.25">
      <c r="A38" s="65">
        <v>21</v>
      </c>
      <c r="B38" s="24" t="s">
        <v>48</v>
      </c>
      <c r="C38" s="66">
        <v>80</v>
      </c>
      <c r="D38" s="67">
        <v>65</v>
      </c>
      <c r="E38" s="68">
        <v>115</v>
      </c>
      <c r="F38" s="68">
        <v>50</v>
      </c>
      <c r="G38" s="69">
        <v>310</v>
      </c>
      <c r="H38" s="70">
        <v>18958.041659999999</v>
      </c>
      <c r="I38" s="70">
        <v>18920.955129999998</v>
      </c>
      <c r="J38" s="70">
        <v>37.086530000000494</v>
      </c>
      <c r="K38" s="70">
        <v>3.4761499999999068</v>
      </c>
      <c r="L38" s="71">
        <v>33.610380000000589</v>
      </c>
      <c r="M38" s="67">
        <v>0</v>
      </c>
      <c r="N38" s="72">
        <v>0</v>
      </c>
      <c r="O38" s="70">
        <v>0</v>
      </c>
      <c r="P38" s="67">
        <v>0</v>
      </c>
      <c r="Q38" s="72">
        <v>0</v>
      </c>
      <c r="R38" s="73">
        <v>4964.8333199999988</v>
      </c>
      <c r="S38" s="70">
        <v>4652.0406033333338</v>
      </c>
      <c r="T38" s="71">
        <v>6.7237744322897601</v>
      </c>
      <c r="U38" s="74">
        <v>10</v>
      </c>
      <c r="V38" s="73">
        <v>41.505369999999999</v>
      </c>
      <c r="W38" s="73">
        <v>37.805399999999999</v>
      </c>
      <c r="X38" s="71">
        <v>-8.9144368547973443</v>
      </c>
      <c r="Y38" s="74">
        <v>5</v>
      </c>
      <c r="Z38" s="74">
        <v>5</v>
      </c>
      <c r="AA38" s="74">
        <v>10</v>
      </c>
      <c r="AB38" s="74">
        <v>107.5</v>
      </c>
      <c r="AC38" s="75">
        <v>1.5140845070422535</v>
      </c>
      <c r="AD38" s="76" t="s">
        <v>108</v>
      </c>
    </row>
    <row r="39" spans="1:30" ht="25.5" x14ac:dyDescent="0.25">
      <c r="A39" s="65">
        <v>22</v>
      </c>
      <c r="B39" s="24" t="s">
        <v>49</v>
      </c>
      <c r="C39" s="66">
        <v>95</v>
      </c>
      <c r="D39" s="67">
        <v>115</v>
      </c>
      <c r="E39" s="68">
        <v>115</v>
      </c>
      <c r="F39" s="68">
        <v>50</v>
      </c>
      <c r="G39" s="69">
        <v>375</v>
      </c>
      <c r="H39" s="70">
        <v>15971.333000000001</v>
      </c>
      <c r="I39" s="70">
        <v>15917.946550000001</v>
      </c>
      <c r="J39" s="70">
        <v>53.386449999999968</v>
      </c>
      <c r="K39" s="70">
        <v>0</v>
      </c>
      <c r="L39" s="71">
        <v>53.386449999999968</v>
      </c>
      <c r="M39" s="67">
        <v>0</v>
      </c>
      <c r="N39" s="72">
        <v>0</v>
      </c>
      <c r="O39" s="70">
        <v>0</v>
      </c>
      <c r="P39" s="67">
        <v>0</v>
      </c>
      <c r="Q39" s="72">
        <v>0</v>
      </c>
      <c r="R39" s="73">
        <v>4889.3865500000011</v>
      </c>
      <c r="S39" s="70">
        <v>3676.1866666666665</v>
      </c>
      <c r="T39" s="71">
        <v>33.001585429104111</v>
      </c>
      <c r="U39" s="74">
        <v>0</v>
      </c>
      <c r="V39" s="73">
        <v>95.26003</v>
      </c>
      <c r="W39" s="73">
        <v>91.079130000000006</v>
      </c>
      <c r="X39" s="71">
        <v>-4.3889341626283285</v>
      </c>
      <c r="Y39" s="74">
        <v>5</v>
      </c>
      <c r="Z39" s="74">
        <v>5</v>
      </c>
      <c r="AA39" s="74">
        <v>10</v>
      </c>
      <c r="AB39" s="74">
        <v>113.75</v>
      </c>
      <c r="AC39" s="75">
        <v>1.602112676056338</v>
      </c>
      <c r="AD39" s="76" t="s">
        <v>108</v>
      </c>
    </row>
    <row r="40" spans="1:30" ht="15.75" x14ac:dyDescent="0.25">
      <c r="A40" s="65">
        <v>23</v>
      </c>
      <c r="B40" s="24" t="s">
        <v>96</v>
      </c>
      <c r="C40" s="66">
        <v>55</v>
      </c>
      <c r="D40" s="67">
        <v>115</v>
      </c>
      <c r="E40" s="68">
        <v>115</v>
      </c>
      <c r="F40" s="68">
        <v>65</v>
      </c>
      <c r="G40" s="69">
        <v>350</v>
      </c>
      <c r="H40" s="70">
        <v>69876.728459999998</v>
      </c>
      <c r="I40" s="70">
        <v>69727.737880000001</v>
      </c>
      <c r="J40" s="70">
        <v>148.99057999999786</v>
      </c>
      <c r="K40" s="70">
        <v>54.976830000000078</v>
      </c>
      <c r="L40" s="71">
        <v>94.013749999997785</v>
      </c>
      <c r="M40" s="67">
        <v>0</v>
      </c>
      <c r="N40" s="72">
        <v>0</v>
      </c>
      <c r="O40" s="70">
        <v>4.1832900000000004</v>
      </c>
      <c r="P40" s="67">
        <v>0</v>
      </c>
      <c r="Q40" s="72">
        <v>0</v>
      </c>
      <c r="R40" s="73">
        <v>21027.737879999997</v>
      </c>
      <c r="S40" s="70">
        <v>16233.333333333334</v>
      </c>
      <c r="T40" s="71">
        <v>29.534319589322362</v>
      </c>
      <c r="U40" s="74">
        <v>0</v>
      </c>
      <c r="V40" s="73">
        <v>1336.9289099999999</v>
      </c>
      <c r="W40" s="73">
        <v>1171.4663700000001</v>
      </c>
      <c r="X40" s="71">
        <v>-12.376315506558967</v>
      </c>
      <c r="Y40" s="74">
        <v>5</v>
      </c>
      <c r="Z40" s="74">
        <v>5</v>
      </c>
      <c r="AA40" s="74">
        <v>10</v>
      </c>
      <c r="AB40" s="74">
        <v>107.5</v>
      </c>
      <c r="AC40" s="75">
        <v>1.5140845070422535</v>
      </c>
      <c r="AD40" s="76" t="s">
        <v>108</v>
      </c>
    </row>
    <row r="41" spans="1:30" ht="15.75" x14ac:dyDescent="0.25">
      <c r="A41" s="65">
        <v>24</v>
      </c>
      <c r="B41" s="24" t="s">
        <v>157</v>
      </c>
      <c r="C41" s="66">
        <v>55</v>
      </c>
      <c r="D41" s="67">
        <v>80</v>
      </c>
      <c r="E41" s="68">
        <v>115</v>
      </c>
      <c r="F41" s="68">
        <v>65</v>
      </c>
      <c r="G41" s="69">
        <v>315</v>
      </c>
      <c r="H41" s="70">
        <v>79894.906180000005</v>
      </c>
      <c r="I41" s="70">
        <v>79310.266860000003</v>
      </c>
      <c r="J41" s="70">
        <v>584.63932000000204</v>
      </c>
      <c r="K41" s="70">
        <v>30.69161999999918</v>
      </c>
      <c r="L41" s="71">
        <v>553.9477000000029</v>
      </c>
      <c r="M41" s="67">
        <v>1</v>
      </c>
      <c r="N41" s="72">
        <v>1</v>
      </c>
      <c r="O41" s="70">
        <v>230.15794</v>
      </c>
      <c r="P41" s="67">
        <v>0.3</v>
      </c>
      <c r="Q41" s="72">
        <v>3</v>
      </c>
      <c r="R41" s="73">
        <v>23634.271049999996</v>
      </c>
      <c r="S41" s="70">
        <v>18558.665270000001</v>
      </c>
      <c r="T41" s="71">
        <v>27.348980684536016</v>
      </c>
      <c r="U41" s="74">
        <v>0</v>
      </c>
      <c r="V41" s="73">
        <v>46.352370000000001</v>
      </c>
      <c r="W41" s="73">
        <v>49.92812</v>
      </c>
      <c r="X41" s="71">
        <v>7.7142765299810971</v>
      </c>
      <c r="Y41" s="74">
        <v>0</v>
      </c>
      <c r="Z41" s="74">
        <v>5</v>
      </c>
      <c r="AA41" s="74">
        <v>10</v>
      </c>
      <c r="AB41" s="74">
        <v>89.75</v>
      </c>
      <c r="AC41" s="75">
        <v>1.2640845070422535</v>
      </c>
      <c r="AD41" s="76" t="s">
        <v>107</v>
      </c>
    </row>
    <row r="42" spans="1:30" ht="25.5" x14ac:dyDescent="0.25">
      <c r="A42" s="65">
        <v>25</v>
      </c>
      <c r="B42" s="24" t="s">
        <v>50</v>
      </c>
      <c r="C42" s="66">
        <v>50</v>
      </c>
      <c r="D42" s="67">
        <v>65</v>
      </c>
      <c r="E42" s="68">
        <v>70</v>
      </c>
      <c r="F42" s="68">
        <v>50</v>
      </c>
      <c r="G42" s="69">
        <v>235</v>
      </c>
      <c r="H42" s="70">
        <v>16168.65136</v>
      </c>
      <c r="I42" s="70">
        <v>16149.339250000001</v>
      </c>
      <c r="J42" s="70">
        <v>19.312109999998938</v>
      </c>
      <c r="K42" s="70">
        <v>2.0430000000167637E-2</v>
      </c>
      <c r="L42" s="71">
        <v>19.29167999999877</v>
      </c>
      <c r="M42" s="67">
        <v>0</v>
      </c>
      <c r="N42" s="72">
        <v>0</v>
      </c>
      <c r="O42" s="70">
        <v>0.46832000000000001</v>
      </c>
      <c r="P42" s="67">
        <v>0</v>
      </c>
      <c r="Q42" s="72">
        <v>0</v>
      </c>
      <c r="R42" s="73">
        <v>5356.6792500000001</v>
      </c>
      <c r="S42" s="70">
        <v>3597.5533333333333</v>
      </c>
      <c r="T42" s="71">
        <v>48.897841218012985</v>
      </c>
      <c r="U42" s="74">
        <v>0</v>
      </c>
      <c r="V42" s="73">
        <v>993.72529000000009</v>
      </c>
      <c r="W42" s="73">
        <v>1107.13177</v>
      </c>
      <c r="X42" s="71">
        <v>11.412256600614427</v>
      </c>
      <c r="Y42" s="74">
        <v>0</v>
      </c>
      <c r="Z42" s="74">
        <v>5</v>
      </c>
      <c r="AA42" s="74">
        <v>10</v>
      </c>
      <c r="AB42" s="74">
        <v>73.75</v>
      </c>
      <c r="AC42" s="75">
        <v>1.0387323943661972</v>
      </c>
      <c r="AD42" s="76" t="s">
        <v>104</v>
      </c>
    </row>
    <row r="43" spans="1:30" ht="15.75" x14ac:dyDescent="0.25">
      <c r="A43" s="65">
        <v>26</v>
      </c>
      <c r="B43" s="24" t="s">
        <v>51</v>
      </c>
      <c r="C43" s="66">
        <v>95</v>
      </c>
      <c r="D43" s="67">
        <v>115</v>
      </c>
      <c r="E43" s="68">
        <v>115</v>
      </c>
      <c r="F43" s="68">
        <v>65</v>
      </c>
      <c r="G43" s="69">
        <v>390</v>
      </c>
      <c r="H43" s="70">
        <v>13795.93974</v>
      </c>
      <c r="I43" s="70">
        <v>13795.54</v>
      </c>
      <c r="J43" s="70">
        <v>0.3997399999989284</v>
      </c>
      <c r="K43" s="70">
        <v>8.6499999999999994E-2</v>
      </c>
      <c r="L43" s="71">
        <v>0.31323999999892838</v>
      </c>
      <c r="M43" s="67">
        <v>0</v>
      </c>
      <c r="N43" s="72">
        <v>0</v>
      </c>
      <c r="O43" s="70">
        <v>0</v>
      </c>
      <c r="P43" s="67">
        <v>0</v>
      </c>
      <c r="Q43" s="72">
        <v>0</v>
      </c>
      <c r="R43" s="73">
        <v>4071.58</v>
      </c>
      <c r="S43" s="70">
        <v>3241.32</v>
      </c>
      <c r="T43" s="71">
        <v>25.61487295299445</v>
      </c>
      <c r="U43" s="74">
        <v>0</v>
      </c>
      <c r="V43" s="73">
        <v>89.0441</v>
      </c>
      <c r="W43" s="73">
        <v>88.912990000000008</v>
      </c>
      <c r="X43" s="71">
        <v>-0.14724164767793993</v>
      </c>
      <c r="Y43" s="74">
        <v>5</v>
      </c>
      <c r="Z43" s="74">
        <v>5</v>
      </c>
      <c r="AA43" s="74">
        <v>10</v>
      </c>
      <c r="AB43" s="74">
        <v>117.5</v>
      </c>
      <c r="AC43" s="75">
        <v>1.6549295774647887</v>
      </c>
      <c r="AD43" s="76" t="s">
        <v>106</v>
      </c>
    </row>
    <row r="44" spans="1:30" ht="25.5" x14ac:dyDescent="0.25">
      <c r="A44" s="65">
        <v>27</v>
      </c>
      <c r="B44" s="24" t="s">
        <v>52</v>
      </c>
      <c r="C44" s="66">
        <v>95</v>
      </c>
      <c r="D44" s="67">
        <v>115</v>
      </c>
      <c r="E44" s="68">
        <v>115</v>
      </c>
      <c r="F44" s="68">
        <v>65</v>
      </c>
      <c r="G44" s="69">
        <v>390</v>
      </c>
      <c r="H44" s="70">
        <v>16442.609</v>
      </c>
      <c r="I44" s="70">
        <v>16440.090670000001</v>
      </c>
      <c r="J44" s="70">
        <v>2.5183299999989686</v>
      </c>
      <c r="K44" s="70">
        <v>0.39664999999990685</v>
      </c>
      <c r="L44" s="71">
        <v>2.1216799999990616</v>
      </c>
      <c r="M44" s="67">
        <v>0</v>
      </c>
      <c r="N44" s="72">
        <v>0</v>
      </c>
      <c r="O44" s="70">
        <v>0</v>
      </c>
      <c r="P44" s="67">
        <v>0</v>
      </c>
      <c r="Q44" s="72">
        <v>0</v>
      </c>
      <c r="R44" s="73">
        <v>4626.4170500000009</v>
      </c>
      <c r="S44" s="70">
        <v>3937.8912066666671</v>
      </c>
      <c r="T44" s="71">
        <v>17.484633454771213</v>
      </c>
      <c r="U44" s="74">
        <v>10</v>
      </c>
      <c r="V44" s="73">
        <v>189.12279000000001</v>
      </c>
      <c r="W44" s="73">
        <v>152.99720000000002</v>
      </c>
      <c r="X44" s="71">
        <v>-19.101658768887656</v>
      </c>
      <c r="Y44" s="74">
        <v>5</v>
      </c>
      <c r="Z44" s="74">
        <v>5</v>
      </c>
      <c r="AA44" s="74">
        <v>10</v>
      </c>
      <c r="AB44" s="74">
        <v>127.5</v>
      </c>
      <c r="AC44" s="75">
        <v>1.795774647887324</v>
      </c>
      <c r="AD44" s="76" t="s">
        <v>106</v>
      </c>
    </row>
    <row r="45" spans="1:30" ht="25.5" x14ac:dyDescent="0.25">
      <c r="A45" s="65">
        <v>28</v>
      </c>
      <c r="B45" s="24" t="s">
        <v>53</v>
      </c>
      <c r="C45" s="66">
        <v>65</v>
      </c>
      <c r="D45" s="67">
        <v>65</v>
      </c>
      <c r="E45" s="68">
        <v>115</v>
      </c>
      <c r="F45" s="68">
        <v>65</v>
      </c>
      <c r="G45" s="69">
        <v>310</v>
      </c>
      <c r="H45" s="70">
        <v>29658.018</v>
      </c>
      <c r="I45" s="70">
        <v>29436.973710000002</v>
      </c>
      <c r="J45" s="70">
        <v>221.044289999998</v>
      </c>
      <c r="K45" s="70">
        <v>38.609700000000188</v>
      </c>
      <c r="L45" s="71">
        <v>182.4345899999978</v>
      </c>
      <c r="M45" s="67">
        <v>1</v>
      </c>
      <c r="N45" s="72">
        <v>1</v>
      </c>
      <c r="O45" s="70">
        <v>0</v>
      </c>
      <c r="P45" s="67">
        <v>0</v>
      </c>
      <c r="Q45" s="72">
        <v>0</v>
      </c>
      <c r="R45" s="73">
        <v>8059.571280000001</v>
      </c>
      <c r="S45" s="70">
        <v>7125.8008100000006</v>
      </c>
      <c r="T45" s="71">
        <v>13.104077631381339</v>
      </c>
      <c r="U45" s="74">
        <v>10</v>
      </c>
      <c r="V45" s="73">
        <v>12.408469999999999</v>
      </c>
      <c r="W45" s="73">
        <v>84.962969999999999</v>
      </c>
      <c r="X45" s="71">
        <v>584.71753568328734</v>
      </c>
      <c r="Y45" s="74">
        <v>0</v>
      </c>
      <c r="Z45" s="74">
        <v>5</v>
      </c>
      <c r="AA45" s="74">
        <v>10</v>
      </c>
      <c r="AB45" s="74">
        <v>101.5</v>
      </c>
      <c r="AC45" s="75">
        <v>1.4295774647887325</v>
      </c>
      <c r="AD45" s="76" t="s">
        <v>107</v>
      </c>
    </row>
    <row r="46" spans="1:30" ht="15.75" x14ac:dyDescent="0.25">
      <c r="A46" s="65">
        <v>29</v>
      </c>
      <c r="B46" s="24" t="s">
        <v>92</v>
      </c>
      <c r="C46" s="66">
        <v>55</v>
      </c>
      <c r="D46" s="67">
        <v>65</v>
      </c>
      <c r="E46" s="68">
        <v>115</v>
      </c>
      <c r="F46" s="68">
        <v>50</v>
      </c>
      <c r="G46" s="69">
        <v>285</v>
      </c>
      <c r="H46" s="70">
        <v>174220.00693</v>
      </c>
      <c r="I46" s="70">
        <v>174193.33046999999</v>
      </c>
      <c r="J46" s="70">
        <v>26.676460000016959</v>
      </c>
      <c r="K46" s="70">
        <v>0</v>
      </c>
      <c r="L46" s="71">
        <v>26.676460000016959</v>
      </c>
      <c r="M46" s="67">
        <v>0</v>
      </c>
      <c r="N46" s="72">
        <v>0</v>
      </c>
      <c r="O46" s="70">
        <v>17.893969999999999</v>
      </c>
      <c r="P46" s="67">
        <v>0</v>
      </c>
      <c r="Q46" s="72">
        <v>0</v>
      </c>
      <c r="R46" s="73">
        <v>52514.410469999995</v>
      </c>
      <c r="S46" s="70">
        <v>40559.639999999992</v>
      </c>
      <c r="T46" s="71">
        <v>29.474547777051292</v>
      </c>
      <c r="U46" s="74">
        <v>0</v>
      </c>
      <c r="V46" s="73">
        <v>4215.76685</v>
      </c>
      <c r="W46" s="73">
        <v>3358.7223399999998</v>
      </c>
      <c r="X46" s="71">
        <v>-20.329504464887574</v>
      </c>
      <c r="Y46" s="74">
        <v>5</v>
      </c>
      <c r="Z46" s="74">
        <v>5</v>
      </c>
      <c r="AA46" s="74">
        <v>10</v>
      </c>
      <c r="AB46" s="74">
        <v>91.25</v>
      </c>
      <c r="AC46" s="75">
        <v>1.2852112676056338</v>
      </c>
      <c r="AD46" s="76" t="s">
        <v>107</v>
      </c>
    </row>
    <row r="47" spans="1:30" ht="25.5" x14ac:dyDescent="0.25">
      <c r="A47" s="65">
        <v>30</v>
      </c>
      <c r="B47" s="24" t="s">
        <v>54</v>
      </c>
      <c r="C47" s="66">
        <v>95</v>
      </c>
      <c r="D47" s="67">
        <v>100</v>
      </c>
      <c r="E47" s="68">
        <v>115</v>
      </c>
      <c r="F47" s="68">
        <v>65</v>
      </c>
      <c r="G47" s="69">
        <v>375</v>
      </c>
      <c r="H47" s="70">
        <v>35442.166400000002</v>
      </c>
      <c r="I47" s="70">
        <v>35358.443619999998</v>
      </c>
      <c r="J47" s="70">
        <v>83.722780000003695</v>
      </c>
      <c r="K47" s="70">
        <v>72.74116000000015</v>
      </c>
      <c r="L47" s="71">
        <v>10.981620000003545</v>
      </c>
      <c r="M47" s="67">
        <v>0</v>
      </c>
      <c r="N47" s="72">
        <v>0</v>
      </c>
      <c r="O47" s="70">
        <v>74.190399999999997</v>
      </c>
      <c r="P47" s="67">
        <v>0.2</v>
      </c>
      <c r="Q47" s="72">
        <v>2</v>
      </c>
      <c r="R47" s="73">
        <v>9116.3836199999969</v>
      </c>
      <c r="S47" s="70">
        <v>8747.3533333333344</v>
      </c>
      <c r="T47" s="71">
        <v>4.2187650664619598</v>
      </c>
      <c r="U47" s="74">
        <v>10</v>
      </c>
      <c r="V47" s="73">
        <v>101.65296000000001</v>
      </c>
      <c r="W47" s="73">
        <v>77.167500000000004</v>
      </c>
      <c r="X47" s="71">
        <v>-24.087306459152792</v>
      </c>
      <c r="Y47" s="74">
        <v>5</v>
      </c>
      <c r="Z47" s="74">
        <v>5</v>
      </c>
      <c r="AA47" s="74">
        <v>10</v>
      </c>
      <c r="AB47" s="74">
        <v>121.75</v>
      </c>
      <c r="AC47" s="75">
        <v>1.7147887323943662</v>
      </c>
      <c r="AD47" s="76" t="s">
        <v>106</v>
      </c>
    </row>
    <row r="48" spans="1:30" ht="25.5" x14ac:dyDescent="0.25">
      <c r="A48" s="65">
        <v>31</v>
      </c>
      <c r="B48" s="24" t="s">
        <v>61</v>
      </c>
      <c r="C48" s="66">
        <v>55</v>
      </c>
      <c r="D48" s="67">
        <v>115</v>
      </c>
      <c r="E48" s="68">
        <v>105</v>
      </c>
      <c r="F48" s="68">
        <v>65</v>
      </c>
      <c r="G48" s="69">
        <v>340</v>
      </c>
      <c r="H48" s="70">
        <v>49142.698229999995</v>
      </c>
      <c r="I48" s="70">
        <v>49092.528880000005</v>
      </c>
      <c r="J48" s="70">
        <v>50.169349999989208</v>
      </c>
      <c r="K48" s="70">
        <v>2.3070000000298022E-2</v>
      </c>
      <c r="L48" s="71">
        <v>50.146279999988913</v>
      </c>
      <c r="M48" s="67">
        <v>0</v>
      </c>
      <c r="N48" s="72">
        <v>0</v>
      </c>
      <c r="O48" s="70">
        <v>72.067140000000009</v>
      </c>
      <c r="P48" s="67">
        <v>0.1</v>
      </c>
      <c r="Q48" s="72">
        <v>1</v>
      </c>
      <c r="R48" s="73">
        <v>14338.9715</v>
      </c>
      <c r="S48" s="70">
        <v>11584.519126666668</v>
      </c>
      <c r="T48" s="71">
        <v>23.777010881641132</v>
      </c>
      <c r="U48" s="74">
        <v>10</v>
      </c>
      <c r="V48" s="73">
        <v>262.12383</v>
      </c>
      <c r="W48" s="73">
        <v>405.39607000000001</v>
      </c>
      <c r="X48" s="71">
        <v>54.658227754416686</v>
      </c>
      <c r="Y48" s="74">
        <v>0</v>
      </c>
      <c r="Z48" s="74">
        <v>5</v>
      </c>
      <c r="AA48" s="74">
        <v>10</v>
      </c>
      <c r="AB48" s="74">
        <v>109</v>
      </c>
      <c r="AC48" s="75">
        <v>1.5352112676056338</v>
      </c>
      <c r="AD48" s="76" t="s">
        <v>108</v>
      </c>
    </row>
    <row r="49" spans="1:30" ht="25.5" x14ac:dyDescent="0.25">
      <c r="A49" s="65">
        <v>32</v>
      </c>
      <c r="B49" s="24" t="s">
        <v>55</v>
      </c>
      <c r="C49" s="66">
        <v>55</v>
      </c>
      <c r="D49" s="67">
        <v>70</v>
      </c>
      <c r="E49" s="68">
        <v>115</v>
      </c>
      <c r="F49" s="68">
        <v>55</v>
      </c>
      <c r="G49" s="69">
        <v>295</v>
      </c>
      <c r="H49" s="70">
        <v>12143.819750000001</v>
      </c>
      <c r="I49" s="70">
        <v>12134.182150000001</v>
      </c>
      <c r="J49" s="70">
        <v>9.6376000000000204</v>
      </c>
      <c r="K49" s="70">
        <v>0</v>
      </c>
      <c r="L49" s="71">
        <v>9.6376000000000204</v>
      </c>
      <c r="M49" s="67">
        <v>0</v>
      </c>
      <c r="N49" s="72">
        <v>0</v>
      </c>
      <c r="O49" s="70">
        <v>31.952400000000001</v>
      </c>
      <c r="P49" s="67">
        <v>0.3</v>
      </c>
      <c r="Q49" s="72">
        <v>3</v>
      </c>
      <c r="R49" s="73">
        <v>3420.0221500000002</v>
      </c>
      <c r="S49" s="70">
        <v>2904.72</v>
      </c>
      <c r="T49" s="71">
        <v>17.74016600567354</v>
      </c>
      <c r="U49" s="74">
        <v>10</v>
      </c>
      <c r="V49" s="73">
        <v>516.21361000000002</v>
      </c>
      <c r="W49" s="73">
        <v>504.80011999999999</v>
      </c>
      <c r="X49" s="71">
        <v>-2.2110013720870363</v>
      </c>
      <c r="Y49" s="74">
        <v>5</v>
      </c>
      <c r="Z49" s="74">
        <v>5</v>
      </c>
      <c r="AA49" s="74">
        <v>10</v>
      </c>
      <c r="AB49" s="74">
        <v>100.75</v>
      </c>
      <c r="AC49" s="75">
        <v>1.4190140845070423</v>
      </c>
      <c r="AD49" s="76" t="s">
        <v>107</v>
      </c>
    </row>
    <row r="50" spans="1:30" ht="15.75" x14ac:dyDescent="0.25">
      <c r="A50" s="65">
        <v>33</v>
      </c>
      <c r="B50" s="24" t="s">
        <v>82</v>
      </c>
      <c r="C50" s="66">
        <v>55</v>
      </c>
      <c r="D50" s="67">
        <v>80</v>
      </c>
      <c r="E50" s="68">
        <v>95</v>
      </c>
      <c r="F50" s="68">
        <v>65</v>
      </c>
      <c r="G50" s="69">
        <v>295</v>
      </c>
      <c r="H50" s="70">
        <v>52475.527999999998</v>
      </c>
      <c r="I50" s="70">
        <v>52325.436820000003</v>
      </c>
      <c r="J50" s="70">
        <v>150.0911799999958</v>
      </c>
      <c r="K50" s="70">
        <v>13.053429999999702</v>
      </c>
      <c r="L50" s="71">
        <v>137.03774999999609</v>
      </c>
      <c r="M50" s="67">
        <v>0</v>
      </c>
      <c r="N50" s="72">
        <v>0</v>
      </c>
      <c r="O50" s="70">
        <v>0</v>
      </c>
      <c r="P50" s="67">
        <v>0</v>
      </c>
      <c r="Q50" s="72">
        <v>0</v>
      </c>
      <c r="R50" s="73">
        <v>19109.666539999998</v>
      </c>
      <c r="S50" s="70">
        <v>11071.923426666668</v>
      </c>
      <c r="T50" s="71">
        <v>72.595725273663561</v>
      </c>
      <c r="U50" s="74">
        <v>0</v>
      </c>
      <c r="V50" s="73">
        <v>123.53280000000001</v>
      </c>
      <c r="W50" s="73">
        <v>93.342380000000006</v>
      </c>
      <c r="X50" s="71">
        <v>-24.439193477359861</v>
      </c>
      <c r="Y50" s="74">
        <v>5</v>
      </c>
      <c r="Z50" s="74">
        <v>5</v>
      </c>
      <c r="AA50" s="74">
        <v>10</v>
      </c>
      <c r="AB50" s="74">
        <v>93.75</v>
      </c>
      <c r="AC50" s="75">
        <v>1.3204225352112675</v>
      </c>
      <c r="AD50" s="76" t="s">
        <v>107</v>
      </c>
    </row>
    <row r="51" spans="1:30" ht="15.75" x14ac:dyDescent="0.25">
      <c r="A51" s="65">
        <v>34</v>
      </c>
      <c r="B51" s="24" t="s">
        <v>56</v>
      </c>
      <c r="C51" s="66">
        <v>65</v>
      </c>
      <c r="D51" s="67">
        <v>85</v>
      </c>
      <c r="E51" s="68">
        <v>115</v>
      </c>
      <c r="F51" s="68">
        <v>65</v>
      </c>
      <c r="G51" s="69">
        <v>330</v>
      </c>
      <c r="H51" s="70">
        <v>29660.108789999998</v>
      </c>
      <c r="I51" s="70">
        <v>29638.45606</v>
      </c>
      <c r="J51" s="70">
        <v>21.652729999997973</v>
      </c>
      <c r="K51" s="70">
        <v>0.64291000000014897</v>
      </c>
      <c r="L51" s="71">
        <v>21.009819999997823</v>
      </c>
      <c r="M51" s="67">
        <v>0</v>
      </c>
      <c r="N51" s="72">
        <v>0</v>
      </c>
      <c r="O51" s="70">
        <v>9.7221299999999999</v>
      </c>
      <c r="P51" s="67">
        <v>0</v>
      </c>
      <c r="Q51" s="72">
        <v>0</v>
      </c>
      <c r="R51" s="73">
        <v>9097.6560599999993</v>
      </c>
      <c r="S51" s="70">
        <v>6846.9333333333343</v>
      </c>
      <c r="T51" s="71">
        <v>32.871982493379001</v>
      </c>
      <c r="U51" s="74">
        <v>0</v>
      </c>
      <c r="V51" s="73">
        <v>5.1959499999999998</v>
      </c>
      <c r="W51" s="73">
        <v>5.2217900000000004</v>
      </c>
      <c r="X51" s="71">
        <v>0.49731040521945991</v>
      </c>
      <c r="Y51" s="74">
        <v>5</v>
      </c>
      <c r="Z51" s="74">
        <v>5</v>
      </c>
      <c r="AA51" s="74">
        <v>10</v>
      </c>
      <c r="AB51" s="74">
        <v>102.5</v>
      </c>
      <c r="AC51" s="75">
        <v>1.443661971830986</v>
      </c>
      <c r="AD51" s="76" t="s">
        <v>107</v>
      </c>
    </row>
    <row r="52" spans="1:30" ht="25.5" x14ac:dyDescent="0.25">
      <c r="A52" s="65">
        <v>35</v>
      </c>
      <c r="B52" s="24" t="s">
        <v>57</v>
      </c>
      <c r="C52" s="66">
        <v>95</v>
      </c>
      <c r="D52" s="67">
        <v>115</v>
      </c>
      <c r="E52" s="68">
        <v>115</v>
      </c>
      <c r="F52" s="68">
        <v>65</v>
      </c>
      <c r="G52" s="69">
        <v>390</v>
      </c>
      <c r="H52" s="70">
        <v>26320.324399999998</v>
      </c>
      <c r="I52" s="70">
        <v>26319.38408</v>
      </c>
      <c r="J52" s="70">
        <v>0.94031999999788241</v>
      </c>
      <c r="K52" s="70">
        <v>0.88375000000000004</v>
      </c>
      <c r="L52" s="71">
        <v>5.656999999788237E-2</v>
      </c>
      <c r="M52" s="67">
        <v>0</v>
      </c>
      <c r="N52" s="72">
        <v>0</v>
      </c>
      <c r="O52" s="70">
        <v>0</v>
      </c>
      <c r="P52" s="67">
        <v>0</v>
      </c>
      <c r="Q52" s="72">
        <v>0</v>
      </c>
      <c r="R52" s="73">
        <v>7939.1240799999978</v>
      </c>
      <c r="S52" s="70">
        <v>6126.753333333334</v>
      </c>
      <c r="T52" s="71">
        <v>29.581258589377903</v>
      </c>
      <c r="U52" s="74">
        <v>0</v>
      </c>
      <c r="V52" s="73">
        <v>154.45930999999999</v>
      </c>
      <c r="W52" s="73">
        <v>93.032740000000004</v>
      </c>
      <c r="X52" s="71">
        <v>-39.768771464795478</v>
      </c>
      <c r="Y52" s="74">
        <v>5</v>
      </c>
      <c r="Z52" s="74">
        <v>5</v>
      </c>
      <c r="AA52" s="74">
        <v>10</v>
      </c>
      <c r="AB52" s="74">
        <v>117.5</v>
      </c>
      <c r="AC52" s="75">
        <v>1.6549295774647887</v>
      </c>
      <c r="AD52" s="76" t="s">
        <v>106</v>
      </c>
    </row>
    <row r="53" spans="1:30" ht="25.5" x14ac:dyDescent="0.25">
      <c r="A53" s="65">
        <v>36</v>
      </c>
      <c r="B53" s="24" t="s">
        <v>58</v>
      </c>
      <c r="C53" s="66">
        <v>85</v>
      </c>
      <c r="D53" s="67">
        <v>100</v>
      </c>
      <c r="E53" s="68">
        <v>115</v>
      </c>
      <c r="F53" s="68">
        <v>65</v>
      </c>
      <c r="G53" s="69">
        <v>365</v>
      </c>
      <c r="H53" s="70">
        <v>13097.9614</v>
      </c>
      <c r="I53" s="70">
        <v>13090.43102</v>
      </c>
      <c r="J53" s="70">
        <v>7.5303800000001502</v>
      </c>
      <c r="K53" s="70">
        <v>8.4649999999906869E-2</v>
      </c>
      <c r="L53" s="71">
        <v>7.4457300000002435</v>
      </c>
      <c r="M53" s="67">
        <v>0</v>
      </c>
      <c r="N53" s="72">
        <v>0</v>
      </c>
      <c r="O53" s="70">
        <v>6.6E-3</v>
      </c>
      <c r="P53" s="67">
        <v>0</v>
      </c>
      <c r="Q53" s="72">
        <v>0</v>
      </c>
      <c r="R53" s="73">
        <v>4018.0710199999994</v>
      </c>
      <c r="S53" s="70">
        <v>3024.1200000000003</v>
      </c>
      <c r="T53" s="71">
        <v>32.867446397629692</v>
      </c>
      <c r="U53" s="74">
        <v>0</v>
      </c>
      <c r="V53" s="73">
        <v>159.62135000000001</v>
      </c>
      <c r="W53" s="73">
        <v>155.48042999999998</v>
      </c>
      <c r="X53" s="71">
        <v>-2.5942143704460725</v>
      </c>
      <c r="Y53" s="74">
        <v>5</v>
      </c>
      <c r="Z53" s="74">
        <v>5</v>
      </c>
      <c r="AA53" s="74">
        <v>10</v>
      </c>
      <c r="AB53" s="74">
        <v>111.25</v>
      </c>
      <c r="AC53" s="75">
        <v>1.5669014084507042</v>
      </c>
      <c r="AD53" s="76" t="s">
        <v>108</v>
      </c>
    </row>
    <row r="54" spans="1:30" ht="25.5" x14ac:dyDescent="0.25">
      <c r="A54" s="65">
        <v>37</v>
      </c>
      <c r="B54" s="24" t="s">
        <v>59</v>
      </c>
      <c r="C54" s="66">
        <v>65</v>
      </c>
      <c r="D54" s="67">
        <v>115</v>
      </c>
      <c r="E54" s="68">
        <v>115</v>
      </c>
      <c r="F54" s="68">
        <v>65</v>
      </c>
      <c r="G54" s="69">
        <v>360</v>
      </c>
      <c r="H54" s="70">
        <v>18946.4764</v>
      </c>
      <c r="I54" s="70">
        <v>18743.063899999997</v>
      </c>
      <c r="J54" s="70">
        <v>203.41250000000218</v>
      </c>
      <c r="K54" s="70">
        <v>2.4399999999441205E-3</v>
      </c>
      <c r="L54" s="71">
        <v>203.41006000000223</v>
      </c>
      <c r="M54" s="67">
        <v>1</v>
      </c>
      <c r="N54" s="72">
        <v>1</v>
      </c>
      <c r="O54" s="70">
        <v>0</v>
      </c>
      <c r="P54" s="67">
        <v>0</v>
      </c>
      <c r="Q54" s="72">
        <v>0</v>
      </c>
      <c r="R54" s="73">
        <v>5704.0038999999988</v>
      </c>
      <c r="S54" s="70">
        <v>4346.3533333333326</v>
      </c>
      <c r="T54" s="71">
        <v>31.236543891967667</v>
      </c>
      <c r="U54" s="74">
        <v>0</v>
      </c>
      <c r="V54" s="73">
        <v>192.31664000000001</v>
      </c>
      <c r="W54" s="73">
        <v>191.80874</v>
      </c>
      <c r="X54" s="71">
        <v>-0.26409571215470823</v>
      </c>
      <c r="Y54" s="74">
        <v>5</v>
      </c>
      <c r="Z54" s="74">
        <v>5</v>
      </c>
      <c r="AA54" s="74">
        <v>10</v>
      </c>
      <c r="AB54" s="74">
        <v>109</v>
      </c>
      <c r="AC54" s="75">
        <v>1.5352112676056338</v>
      </c>
      <c r="AD54" s="76" t="s">
        <v>108</v>
      </c>
    </row>
    <row r="55" spans="1:30" ht="15.75" x14ac:dyDescent="0.25">
      <c r="A55" s="65">
        <v>38</v>
      </c>
      <c r="B55" s="24" t="s">
        <v>60</v>
      </c>
      <c r="C55" s="66">
        <v>50</v>
      </c>
      <c r="D55" s="67">
        <v>80</v>
      </c>
      <c r="E55" s="68">
        <v>95</v>
      </c>
      <c r="F55" s="68">
        <v>65</v>
      </c>
      <c r="G55" s="69">
        <v>290</v>
      </c>
      <c r="H55" s="70">
        <v>37443.938249999999</v>
      </c>
      <c r="I55" s="70">
        <v>37441.517249999997</v>
      </c>
      <c r="J55" s="70">
        <v>2.4210000000020955</v>
      </c>
      <c r="K55" s="70">
        <v>0</v>
      </c>
      <c r="L55" s="71">
        <v>2.4210000000020955</v>
      </c>
      <c r="M55" s="67">
        <v>0</v>
      </c>
      <c r="N55" s="72">
        <v>0</v>
      </c>
      <c r="O55" s="70">
        <v>34.028489999999998</v>
      </c>
      <c r="P55" s="67">
        <v>0.1</v>
      </c>
      <c r="Q55" s="72">
        <v>1</v>
      </c>
      <c r="R55" s="73">
        <v>12078.65252</v>
      </c>
      <c r="S55" s="70">
        <v>8454.2882433333325</v>
      </c>
      <c r="T55" s="71">
        <v>42.870129008490764</v>
      </c>
      <c r="U55" s="74">
        <v>0</v>
      </c>
      <c r="V55" s="73">
        <v>342.21440000000001</v>
      </c>
      <c r="W55" s="73">
        <v>378.62109999999996</v>
      </c>
      <c r="X55" s="71">
        <v>10.638564595762173</v>
      </c>
      <c r="Y55" s="74">
        <v>0</v>
      </c>
      <c r="Z55" s="74">
        <v>5</v>
      </c>
      <c r="AA55" s="74">
        <v>10</v>
      </c>
      <c r="AB55" s="74">
        <v>86.5</v>
      </c>
      <c r="AC55" s="75">
        <v>1.2183098591549295</v>
      </c>
      <c r="AD55" s="76" t="s">
        <v>104</v>
      </c>
    </row>
    <row r="56" spans="1:30" ht="25.5" x14ac:dyDescent="0.25">
      <c r="A56" s="65">
        <v>39</v>
      </c>
      <c r="B56" s="24" t="s">
        <v>62</v>
      </c>
      <c r="C56" s="66">
        <v>85</v>
      </c>
      <c r="D56" s="67">
        <v>90</v>
      </c>
      <c r="E56" s="68">
        <v>95</v>
      </c>
      <c r="F56" s="68">
        <v>65</v>
      </c>
      <c r="G56" s="69">
        <v>335</v>
      </c>
      <c r="H56" s="70">
        <v>51664.803970000001</v>
      </c>
      <c r="I56" s="70">
        <v>51372.066490000005</v>
      </c>
      <c r="J56" s="70">
        <v>292.73747999999614</v>
      </c>
      <c r="K56" s="70">
        <v>41.902719999999739</v>
      </c>
      <c r="L56" s="71">
        <v>250.83475999999641</v>
      </c>
      <c r="M56" s="67">
        <v>0</v>
      </c>
      <c r="N56" s="72">
        <v>0</v>
      </c>
      <c r="O56" s="70">
        <v>227.63542999999999</v>
      </c>
      <c r="P56" s="67">
        <v>0.4</v>
      </c>
      <c r="Q56" s="72">
        <v>4</v>
      </c>
      <c r="R56" s="73">
        <v>17348.098090000003</v>
      </c>
      <c r="S56" s="70">
        <v>11341.3228</v>
      </c>
      <c r="T56" s="71">
        <v>52.963621580368056</v>
      </c>
      <c r="U56" s="74">
        <v>0</v>
      </c>
      <c r="V56" s="73">
        <v>879.27969999999993</v>
      </c>
      <c r="W56" s="73">
        <v>923.55084999999997</v>
      </c>
      <c r="X56" s="71">
        <v>5.034933707670044</v>
      </c>
      <c r="Y56" s="74">
        <v>0</v>
      </c>
      <c r="Z56" s="74">
        <v>5</v>
      </c>
      <c r="AA56" s="74">
        <v>10</v>
      </c>
      <c r="AB56" s="74">
        <v>94.75</v>
      </c>
      <c r="AC56" s="75">
        <v>1.3345070422535212</v>
      </c>
      <c r="AD56" s="76" t="s">
        <v>107</v>
      </c>
    </row>
    <row r="57" spans="1:30" ht="25.5" x14ac:dyDescent="0.25">
      <c r="A57" s="65">
        <v>40</v>
      </c>
      <c r="B57" s="24" t="s">
        <v>63</v>
      </c>
      <c r="C57" s="66">
        <v>95</v>
      </c>
      <c r="D57" s="67">
        <v>100</v>
      </c>
      <c r="E57" s="68">
        <v>115</v>
      </c>
      <c r="F57" s="68">
        <v>65</v>
      </c>
      <c r="G57" s="69">
        <v>375</v>
      </c>
      <c r="H57" s="70">
        <v>16356.6297</v>
      </c>
      <c r="I57" s="70">
        <v>16356.184539999998</v>
      </c>
      <c r="J57" s="70">
        <v>0.44516000000112399</v>
      </c>
      <c r="K57" s="70">
        <v>0.19716000000014902</v>
      </c>
      <c r="L57" s="71">
        <v>0.24800000000097497</v>
      </c>
      <c r="M57" s="67">
        <v>0</v>
      </c>
      <c r="N57" s="72">
        <v>0</v>
      </c>
      <c r="O57" s="70">
        <v>0</v>
      </c>
      <c r="P57" s="67">
        <v>0</v>
      </c>
      <c r="Q57" s="72">
        <v>0</v>
      </c>
      <c r="R57" s="73">
        <v>4589.4245399999991</v>
      </c>
      <c r="S57" s="70">
        <v>3922.2533333333326</v>
      </c>
      <c r="T57" s="71">
        <v>17.009895842185951</v>
      </c>
      <c r="U57" s="74">
        <v>10</v>
      </c>
      <c r="V57" s="73">
        <v>6.0853700000000002</v>
      </c>
      <c r="W57" s="73">
        <v>10.40583</v>
      </c>
      <c r="X57" s="71">
        <v>70.997490703112547</v>
      </c>
      <c r="Y57" s="74">
        <v>0</v>
      </c>
      <c r="Z57" s="74">
        <v>5</v>
      </c>
      <c r="AA57" s="74">
        <v>10</v>
      </c>
      <c r="AB57" s="74">
        <v>118.75</v>
      </c>
      <c r="AC57" s="75">
        <v>1.6725352112676057</v>
      </c>
      <c r="AD57" s="76" t="s">
        <v>106</v>
      </c>
    </row>
    <row r="58" spans="1:30" ht="25.5" x14ac:dyDescent="0.25">
      <c r="A58" s="65">
        <v>41</v>
      </c>
      <c r="B58" s="25" t="s">
        <v>64</v>
      </c>
      <c r="C58" s="66">
        <v>65</v>
      </c>
      <c r="D58" s="67">
        <v>100</v>
      </c>
      <c r="E58" s="68">
        <v>115</v>
      </c>
      <c r="F58" s="68">
        <v>65</v>
      </c>
      <c r="G58" s="69">
        <v>345</v>
      </c>
      <c r="H58" s="70">
        <v>42095.997950000004</v>
      </c>
      <c r="I58" s="70">
        <v>41850.068350000001</v>
      </c>
      <c r="J58" s="70">
        <v>245.92960000000312</v>
      </c>
      <c r="K58" s="70">
        <v>5.9653399999998511</v>
      </c>
      <c r="L58" s="71">
        <v>239.96426000000326</v>
      </c>
      <c r="M58" s="67">
        <v>1</v>
      </c>
      <c r="N58" s="72">
        <v>1</v>
      </c>
      <c r="O58" s="70">
        <v>20.813860000000002</v>
      </c>
      <c r="P58" s="67">
        <v>0</v>
      </c>
      <c r="Q58" s="72">
        <v>0</v>
      </c>
      <c r="R58" s="73">
        <v>11784.508350000002</v>
      </c>
      <c r="S58" s="70">
        <v>10021.853333333333</v>
      </c>
      <c r="T58" s="71">
        <v>17.588114274272652</v>
      </c>
      <c r="U58" s="74">
        <v>10</v>
      </c>
      <c r="V58" s="73">
        <v>673.86536000000001</v>
      </c>
      <c r="W58" s="73">
        <v>674.07557999999995</v>
      </c>
      <c r="X58" s="71">
        <v>3.1196142802166843E-2</v>
      </c>
      <c r="Y58" s="74">
        <v>5</v>
      </c>
      <c r="Z58" s="74">
        <v>5</v>
      </c>
      <c r="AA58" s="74">
        <v>10</v>
      </c>
      <c r="AB58" s="74">
        <v>115.25</v>
      </c>
      <c r="AC58" s="75">
        <v>1.6232394366197183</v>
      </c>
      <c r="AD58" s="76" t="s">
        <v>108</v>
      </c>
    </row>
    <row r="59" spans="1:30" ht="25.5" x14ac:dyDescent="0.25">
      <c r="A59" s="65">
        <v>42</v>
      </c>
      <c r="B59" s="24" t="s">
        <v>65</v>
      </c>
      <c r="C59" s="66">
        <v>80</v>
      </c>
      <c r="D59" s="67">
        <v>75</v>
      </c>
      <c r="E59" s="68">
        <v>95</v>
      </c>
      <c r="F59" s="68">
        <v>50</v>
      </c>
      <c r="G59" s="69">
        <v>300</v>
      </c>
      <c r="H59" s="70">
        <v>20800.23936</v>
      </c>
      <c r="I59" s="70">
        <v>20799.631359999999</v>
      </c>
      <c r="J59" s="70">
        <v>0.60800000000017462</v>
      </c>
      <c r="K59" s="70">
        <v>0</v>
      </c>
      <c r="L59" s="71">
        <v>0.60800000000017462</v>
      </c>
      <c r="M59" s="67">
        <v>0</v>
      </c>
      <c r="N59" s="72">
        <v>0</v>
      </c>
      <c r="O59" s="70">
        <v>0</v>
      </c>
      <c r="P59" s="67">
        <v>0</v>
      </c>
      <c r="Q59" s="72">
        <v>0</v>
      </c>
      <c r="R59" s="73">
        <v>6421.7713599999997</v>
      </c>
      <c r="S59" s="70">
        <v>4792.62</v>
      </c>
      <c r="T59" s="71">
        <v>33.99291744390333</v>
      </c>
      <c r="U59" s="74">
        <v>0</v>
      </c>
      <c r="V59" s="73">
        <v>866.73759999999993</v>
      </c>
      <c r="W59" s="73">
        <v>279.99559000000005</v>
      </c>
      <c r="X59" s="71">
        <v>-67.695460540768053</v>
      </c>
      <c r="Y59" s="74">
        <v>5</v>
      </c>
      <c r="Z59" s="74">
        <v>5</v>
      </c>
      <c r="AA59" s="74">
        <v>10</v>
      </c>
      <c r="AB59" s="74">
        <v>95</v>
      </c>
      <c r="AC59" s="75">
        <v>1.3380281690140845</v>
      </c>
      <c r="AD59" s="76" t="s">
        <v>107</v>
      </c>
    </row>
    <row r="60" spans="1:30" ht="25.5" x14ac:dyDescent="0.25">
      <c r="A60" s="65">
        <v>43</v>
      </c>
      <c r="B60" s="24" t="s">
        <v>66</v>
      </c>
      <c r="C60" s="66">
        <v>95</v>
      </c>
      <c r="D60" s="67">
        <v>115</v>
      </c>
      <c r="E60" s="68">
        <v>115</v>
      </c>
      <c r="F60" s="68">
        <v>65</v>
      </c>
      <c r="G60" s="69">
        <v>390</v>
      </c>
      <c r="H60" s="70">
        <v>18540.928</v>
      </c>
      <c r="I60" s="70">
        <v>18540.928</v>
      </c>
      <c r="J60" s="70">
        <v>0</v>
      </c>
      <c r="K60" s="70">
        <v>0</v>
      </c>
      <c r="L60" s="71">
        <v>0</v>
      </c>
      <c r="M60" s="67">
        <v>0</v>
      </c>
      <c r="N60" s="72">
        <v>0</v>
      </c>
      <c r="O60" s="70">
        <v>0</v>
      </c>
      <c r="P60" s="67">
        <v>0</v>
      </c>
      <c r="Q60" s="72">
        <v>0</v>
      </c>
      <c r="R60" s="73">
        <v>5085.4679999999998</v>
      </c>
      <c r="S60" s="70">
        <v>4485.1533333333327</v>
      </c>
      <c r="T60" s="71">
        <v>13.384484811370264</v>
      </c>
      <c r="U60" s="74">
        <v>10</v>
      </c>
      <c r="V60" s="73">
        <v>0</v>
      </c>
      <c r="W60" s="73">
        <v>0</v>
      </c>
      <c r="X60" s="71">
        <v>0</v>
      </c>
      <c r="Y60" s="74">
        <v>5</v>
      </c>
      <c r="Z60" s="74">
        <v>5</v>
      </c>
      <c r="AA60" s="74">
        <v>10</v>
      </c>
      <c r="AB60" s="74">
        <v>127.5</v>
      </c>
      <c r="AC60" s="75">
        <v>1.795774647887324</v>
      </c>
      <c r="AD60" s="76" t="s">
        <v>106</v>
      </c>
    </row>
    <row r="61" spans="1:30" ht="25.5" x14ac:dyDescent="0.25">
      <c r="A61" s="65">
        <v>44</v>
      </c>
      <c r="B61" s="25" t="s">
        <v>67</v>
      </c>
      <c r="C61" s="66">
        <v>65</v>
      </c>
      <c r="D61" s="67">
        <v>100</v>
      </c>
      <c r="E61" s="68">
        <v>70</v>
      </c>
      <c r="F61" s="68">
        <v>50</v>
      </c>
      <c r="G61" s="69">
        <v>285</v>
      </c>
      <c r="H61" s="70">
        <v>20552.524000000001</v>
      </c>
      <c r="I61" s="70">
        <v>20338.004000000001</v>
      </c>
      <c r="J61" s="70">
        <v>214.52000000000044</v>
      </c>
      <c r="K61" s="70">
        <v>0</v>
      </c>
      <c r="L61" s="71">
        <v>214.52000000000044</v>
      </c>
      <c r="M61" s="67">
        <v>1</v>
      </c>
      <c r="N61" s="72">
        <v>1</v>
      </c>
      <c r="O61" s="70">
        <v>129</v>
      </c>
      <c r="P61" s="67">
        <v>0.6</v>
      </c>
      <c r="Q61" s="72">
        <v>6</v>
      </c>
      <c r="R61" s="73">
        <v>5862.7925399999995</v>
      </c>
      <c r="S61" s="70">
        <v>4825.0704866666674</v>
      </c>
      <c r="T61" s="71">
        <v>21.506878629046263</v>
      </c>
      <c r="U61" s="74">
        <v>10</v>
      </c>
      <c r="V61" s="73">
        <v>410.33499999999998</v>
      </c>
      <c r="W61" s="73">
        <v>531.43499999999995</v>
      </c>
      <c r="X61" s="71">
        <v>29.512471517174983</v>
      </c>
      <c r="Y61" s="74">
        <v>0</v>
      </c>
      <c r="Z61" s="74">
        <v>5</v>
      </c>
      <c r="AA61" s="74">
        <v>10</v>
      </c>
      <c r="AB61" s="74">
        <v>89.25</v>
      </c>
      <c r="AC61" s="75">
        <v>1.2570422535211268</v>
      </c>
      <c r="AD61" s="77" t="s">
        <v>107</v>
      </c>
    </row>
    <row r="62" spans="1:30" ht="25.5" x14ac:dyDescent="0.25">
      <c r="A62" s="65">
        <v>45</v>
      </c>
      <c r="B62" s="24" t="s">
        <v>68</v>
      </c>
      <c r="C62" s="66">
        <v>85</v>
      </c>
      <c r="D62" s="67">
        <v>85</v>
      </c>
      <c r="E62" s="68">
        <v>115</v>
      </c>
      <c r="F62" s="68">
        <v>55</v>
      </c>
      <c r="G62" s="69">
        <v>340</v>
      </c>
      <c r="H62" s="70">
        <v>21248.772000000001</v>
      </c>
      <c r="I62" s="70">
        <v>21182.972570000002</v>
      </c>
      <c r="J62" s="70">
        <v>65.79942999999912</v>
      </c>
      <c r="K62" s="70">
        <v>16.566430000000167</v>
      </c>
      <c r="L62" s="71">
        <v>49.232999999998952</v>
      </c>
      <c r="M62" s="67">
        <v>0</v>
      </c>
      <c r="N62" s="72">
        <v>0</v>
      </c>
      <c r="O62" s="70">
        <v>15.35191</v>
      </c>
      <c r="P62" s="67">
        <v>0.1</v>
      </c>
      <c r="Q62" s="72">
        <v>1</v>
      </c>
      <c r="R62" s="73">
        <v>6578.8125700000001</v>
      </c>
      <c r="S62" s="70">
        <v>4868.0533333333342</v>
      </c>
      <c r="T62" s="71">
        <v>35.142573828279048</v>
      </c>
      <c r="U62" s="74">
        <v>0</v>
      </c>
      <c r="V62" s="73">
        <v>29.790569999999999</v>
      </c>
      <c r="W62" s="73">
        <v>29.384370000000001</v>
      </c>
      <c r="X62" s="71">
        <v>-1.3635187242137305</v>
      </c>
      <c r="Y62" s="74">
        <v>5</v>
      </c>
      <c r="Z62" s="74">
        <v>5</v>
      </c>
      <c r="AA62" s="74">
        <v>10</v>
      </c>
      <c r="AB62" s="74">
        <v>104</v>
      </c>
      <c r="AC62" s="75">
        <v>1.4647887323943662</v>
      </c>
      <c r="AD62" s="77" t="s">
        <v>108</v>
      </c>
    </row>
    <row r="63" spans="1:30" ht="15.75" x14ac:dyDescent="0.25">
      <c r="A63" s="65">
        <v>46</v>
      </c>
      <c r="B63" s="24" t="s">
        <v>69</v>
      </c>
      <c r="C63" s="66">
        <v>85</v>
      </c>
      <c r="D63" s="67">
        <v>80</v>
      </c>
      <c r="E63" s="68">
        <v>95</v>
      </c>
      <c r="F63" s="68">
        <v>65</v>
      </c>
      <c r="G63" s="69">
        <v>325</v>
      </c>
      <c r="H63" s="70">
        <v>22051.831280000002</v>
      </c>
      <c r="I63" s="70">
        <v>21996.337420000003</v>
      </c>
      <c r="J63" s="70">
        <v>55.493859999998676</v>
      </c>
      <c r="K63" s="70">
        <v>0</v>
      </c>
      <c r="L63" s="71">
        <v>55.493859999998676</v>
      </c>
      <c r="M63" s="67">
        <v>0</v>
      </c>
      <c r="N63" s="72">
        <v>0</v>
      </c>
      <c r="O63" s="70">
        <v>1.54792</v>
      </c>
      <c r="P63" s="67">
        <v>0</v>
      </c>
      <c r="Q63" s="72">
        <v>0</v>
      </c>
      <c r="R63" s="73">
        <v>6499.303530000001</v>
      </c>
      <c r="S63" s="70">
        <v>5165.6779633333344</v>
      </c>
      <c r="T63" s="71">
        <v>25.817048142236455</v>
      </c>
      <c r="U63" s="74">
        <v>0</v>
      </c>
      <c r="V63" s="73">
        <v>161.84954000000002</v>
      </c>
      <c r="W63" s="73">
        <v>292.46393</v>
      </c>
      <c r="X63" s="71">
        <v>80.701119076396495</v>
      </c>
      <c r="Y63" s="74">
        <v>0</v>
      </c>
      <c r="Z63" s="74">
        <v>5</v>
      </c>
      <c r="AA63" s="74">
        <v>10</v>
      </c>
      <c r="AB63" s="74">
        <v>96.25</v>
      </c>
      <c r="AC63" s="75">
        <v>1.3556338028169015</v>
      </c>
      <c r="AD63" s="77" t="s">
        <v>107</v>
      </c>
    </row>
    <row r="64" spans="1:30" ht="25.5" x14ac:dyDescent="0.25">
      <c r="A64" s="65">
        <v>47</v>
      </c>
      <c r="B64" s="24" t="s">
        <v>70</v>
      </c>
      <c r="C64" s="66">
        <v>40</v>
      </c>
      <c r="D64" s="67">
        <v>95</v>
      </c>
      <c r="E64" s="68">
        <v>95</v>
      </c>
      <c r="F64" s="68">
        <v>65</v>
      </c>
      <c r="G64" s="69">
        <v>295</v>
      </c>
      <c r="H64" s="70">
        <v>17471.233</v>
      </c>
      <c r="I64" s="70">
        <v>17395.446250000001</v>
      </c>
      <c r="J64" s="70">
        <v>75.786749999999302</v>
      </c>
      <c r="K64" s="70">
        <v>5.3015400000000374</v>
      </c>
      <c r="L64" s="71">
        <v>70.48520999999927</v>
      </c>
      <c r="M64" s="67">
        <v>0</v>
      </c>
      <c r="N64" s="72">
        <v>0</v>
      </c>
      <c r="O64" s="70">
        <v>0</v>
      </c>
      <c r="P64" s="67">
        <v>0</v>
      </c>
      <c r="Q64" s="72">
        <v>0</v>
      </c>
      <c r="R64" s="73">
        <v>6125.7048199999999</v>
      </c>
      <c r="S64" s="70">
        <v>3756.5804766666674</v>
      </c>
      <c r="T64" s="71">
        <v>63.065981363868751</v>
      </c>
      <c r="U64" s="74">
        <v>0</v>
      </c>
      <c r="V64" s="73">
        <v>950.66331000000002</v>
      </c>
      <c r="W64" s="73">
        <v>251.71767000000003</v>
      </c>
      <c r="X64" s="71">
        <v>-73.521890731220068</v>
      </c>
      <c r="Y64" s="74">
        <v>5</v>
      </c>
      <c r="Z64" s="74">
        <v>5</v>
      </c>
      <c r="AA64" s="74">
        <v>10</v>
      </c>
      <c r="AB64" s="74">
        <v>93.75</v>
      </c>
      <c r="AC64" s="75">
        <v>1.3204225352112675</v>
      </c>
      <c r="AD64" s="77" t="s">
        <v>107</v>
      </c>
    </row>
    <row r="65" spans="1:30" ht="25.5" x14ac:dyDescent="0.25">
      <c r="A65" s="65">
        <v>48</v>
      </c>
      <c r="B65" s="24" t="s">
        <v>71</v>
      </c>
      <c r="C65" s="66">
        <v>65</v>
      </c>
      <c r="D65" s="67">
        <v>85</v>
      </c>
      <c r="E65" s="68">
        <v>115</v>
      </c>
      <c r="F65" s="68">
        <v>65</v>
      </c>
      <c r="G65" s="69">
        <v>330</v>
      </c>
      <c r="H65" s="70">
        <v>12113.353999999999</v>
      </c>
      <c r="I65" s="70">
        <v>12105.32869</v>
      </c>
      <c r="J65" s="70">
        <v>8.0253099999990809</v>
      </c>
      <c r="K65" s="70">
        <v>0.98324999999999996</v>
      </c>
      <c r="L65" s="71">
        <v>7.0420599999990809</v>
      </c>
      <c r="M65" s="67">
        <v>0</v>
      </c>
      <c r="N65" s="72">
        <v>0</v>
      </c>
      <c r="O65" s="70">
        <v>0</v>
      </c>
      <c r="P65" s="67">
        <v>0</v>
      </c>
      <c r="Q65" s="72">
        <v>0</v>
      </c>
      <c r="R65" s="73">
        <v>3421.5686899999996</v>
      </c>
      <c r="S65" s="70">
        <v>2894.5866666666666</v>
      </c>
      <c r="T65" s="71">
        <v>18.205778027029755</v>
      </c>
      <c r="U65" s="74">
        <v>10</v>
      </c>
      <c r="V65" s="73">
        <v>150.64482999999998</v>
      </c>
      <c r="W65" s="73">
        <v>46.91901</v>
      </c>
      <c r="X65" s="71">
        <v>-68.854550136237663</v>
      </c>
      <c r="Y65" s="74">
        <v>5</v>
      </c>
      <c r="Z65" s="74">
        <v>5</v>
      </c>
      <c r="AA65" s="74">
        <v>10</v>
      </c>
      <c r="AB65" s="74">
        <v>112.5</v>
      </c>
      <c r="AC65" s="75">
        <v>1.5845070422535212</v>
      </c>
      <c r="AD65" s="76" t="s">
        <v>108</v>
      </c>
    </row>
    <row r="66" spans="1:30" ht="25.5" x14ac:dyDescent="0.25">
      <c r="A66" s="65">
        <v>49</v>
      </c>
      <c r="B66" s="24" t="s">
        <v>72</v>
      </c>
      <c r="C66" s="66">
        <v>65</v>
      </c>
      <c r="D66" s="67">
        <v>80</v>
      </c>
      <c r="E66" s="68">
        <v>95</v>
      </c>
      <c r="F66" s="68">
        <v>65</v>
      </c>
      <c r="G66" s="69">
        <v>305</v>
      </c>
      <c r="H66" s="70">
        <v>12552.977999999999</v>
      </c>
      <c r="I66" s="70">
        <v>12547.064</v>
      </c>
      <c r="J66" s="70">
        <v>5.9139999999988504</v>
      </c>
      <c r="K66" s="70">
        <v>0.31920999999996275</v>
      </c>
      <c r="L66" s="71">
        <v>5.5947899999988877</v>
      </c>
      <c r="M66" s="67">
        <v>0</v>
      </c>
      <c r="N66" s="72">
        <v>0</v>
      </c>
      <c r="O66" s="70">
        <v>0</v>
      </c>
      <c r="P66" s="67">
        <v>0</v>
      </c>
      <c r="Q66" s="72">
        <v>0</v>
      </c>
      <c r="R66" s="73">
        <v>4313.0039999999999</v>
      </c>
      <c r="S66" s="70">
        <v>2744.686666666667</v>
      </c>
      <c r="T66" s="71">
        <v>57.140122855553621</v>
      </c>
      <c r="U66" s="74">
        <v>0</v>
      </c>
      <c r="V66" s="73">
        <v>37.348210000000002</v>
      </c>
      <c r="W66" s="73">
        <v>92.364530000000002</v>
      </c>
      <c r="X66" s="71">
        <v>147.30644386973296</v>
      </c>
      <c r="Y66" s="74">
        <v>0</v>
      </c>
      <c r="Z66" s="74">
        <v>5</v>
      </c>
      <c r="AA66" s="74">
        <v>10</v>
      </c>
      <c r="AB66" s="74">
        <v>91.25</v>
      </c>
      <c r="AC66" s="75">
        <v>1.2852112676056338</v>
      </c>
      <c r="AD66" s="76" t="s">
        <v>107</v>
      </c>
    </row>
    <row r="67" spans="1:30" ht="25.5" x14ac:dyDescent="0.25">
      <c r="A67" s="65">
        <v>50</v>
      </c>
      <c r="B67" s="24" t="s">
        <v>73</v>
      </c>
      <c r="C67" s="66">
        <v>95</v>
      </c>
      <c r="D67" s="67">
        <v>80</v>
      </c>
      <c r="E67" s="68">
        <v>95</v>
      </c>
      <c r="F67" s="68">
        <v>65</v>
      </c>
      <c r="G67" s="69">
        <v>335</v>
      </c>
      <c r="H67" s="70">
        <v>43570.432810000006</v>
      </c>
      <c r="I67" s="70">
        <v>43566.184209999999</v>
      </c>
      <c r="J67" s="70">
        <v>4.2486000000062631</v>
      </c>
      <c r="K67" s="70">
        <v>0</v>
      </c>
      <c r="L67" s="71">
        <v>4.2486000000062631</v>
      </c>
      <c r="M67" s="67">
        <v>0</v>
      </c>
      <c r="N67" s="72">
        <v>0</v>
      </c>
      <c r="O67" s="70">
        <v>7.1966800000000006</v>
      </c>
      <c r="P67" s="67">
        <v>0</v>
      </c>
      <c r="Q67" s="72">
        <v>0</v>
      </c>
      <c r="R67" s="73">
        <v>13376.169609999999</v>
      </c>
      <c r="S67" s="70">
        <v>10063.3382</v>
      </c>
      <c r="T67" s="71">
        <v>32.91980597452244</v>
      </c>
      <c r="U67" s="74">
        <v>0</v>
      </c>
      <c r="V67" s="73">
        <v>565.25161000000003</v>
      </c>
      <c r="W67" s="73">
        <v>905.42656999999997</v>
      </c>
      <c r="X67" s="71">
        <v>60.181157201834402</v>
      </c>
      <c r="Y67" s="74">
        <v>0</v>
      </c>
      <c r="Z67" s="74">
        <v>5</v>
      </c>
      <c r="AA67" s="74">
        <v>10</v>
      </c>
      <c r="AB67" s="74">
        <v>98.75</v>
      </c>
      <c r="AC67" s="75">
        <v>1.3908450704225352</v>
      </c>
      <c r="AD67" s="76" t="s">
        <v>107</v>
      </c>
    </row>
    <row r="68" spans="1:30" ht="25.5" x14ac:dyDescent="0.25">
      <c r="A68" s="65">
        <v>51</v>
      </c>
      <c r="B68" s="24" t="s">
        <v>158</v>
      </c>
      <c r="C68" s="66">
        <v>80</v>
      </c>
      <c r="D68" s="67">
        <v>85</v>
      </c>
      <c r="E68" s="68">
        <v>115</v>
      </c>
      <c r="F68" s="68">
        <v>55</v>
      </c>
      <c r="G68" s="69">
        <v>335</v>
      </c>
      <c r="H68" s="70">
        <v>10942.153</v>
      </c>
      <c r="I68" s="70">
        <v>10941.39057</v>
      </c>
      <c r="J68" s="70">
        <v>0.76243000000067696</v>
      </c>
      <c r="K68" s="70">
        <v>0.22392999999993482</v>
      </c>
      <c r="L68" s="71">
        <v>0.53850000000074216</v>
      </c>
      <c r="M68" s="67">
        <v>0</v>
      </c>
      <c r="N68" s="72">
        <v>0</v>
      </c>
      <c r="O68" s="70">
        <v>0</v>
      </c>
      <c r="P68" s="67">
        <v>0</v>
      </c>
      <c r="Q68" s="72">
        <v>0</v>
      </c>
      <c r="R68" s="73">
        <v>2792.3748500000006</v>
      </c>
      <c r="S68" s="70">
        <v>2716.338573333333</v>
      </c>
      <c r="T68" s="71">
        <v>2.7992194129673722</v>
      </c>
      <c r="U68" s="74">
        <v>10</v>
      </c>
      <c r="V68" s="73">
        <v>0</v>
      </c>
      <c r="W68" s="73">
        <v>0</v>
      </c>
      <c r="X68" s="71">
        <v>0</v>
      </c>
      <c r="Y68" s="74">
        <v>5</v>
      </c>
      <c r="Z68" s="74">
        <v>5</v>
      </c>
      <c r="AA68" s="74">
        <v>10</v>
      </c>
      <c r="AB68" s="74">
        <v>113.75</v>
      </c>
      <c r="AC68" s="75">
        <v>1.602112676056338</v>
      </c>
      <c r="AD68" s="76" t="s">
        <v>108</v>
      </c>
    </row>
    <row r="69" spans="1:30" ht="25.5" x14ac:dyDescent="0.25">
      <c r="A69" s="65">
        <v>52</v>
      </c>
      <c r="B69" s="24" t="s">
        <v>75</v>
      </c>
      <c r="C69" s="66">
        <v>55</v>
      </c>
      <c r="D69" s="67">
        <v>65</v>
      </c>
      <c r="E69" s="68">
        <v>105</v>
      </c>
      <c r="F69" s="68">
        <v>55</v>
      </c>
      <c r="G69" s="69">
        <v>280</v>
      </c>
      <c r="H69" s="70">
        <v>40015.407399999996</v>
      </c>
      <c r="I69" s="70">
        <v>39876.609649999999</v>
      </c>
      <c r="J69" s="70">
        <v>138.7977499999979</v>
      </c>
      <c r="K69" s="70">
        <v>31.804019999999554</v>
      </c>
      <c r="L69" s="71">
        <v>106.99372999999835</v>
      </c>
      <c r="M69" s="67">
        <v>0</v>
      </c>
      <c r="N69" s="72">
        <v>0</v>
      </c>
      <c r="O69" s="70">
        <v>5.7013100000000003</v>
      </c>
      <c r="P69" s="67">
        <v>0</v>
      </c>
      <c r="Q69" s="72">
        <v>0</v>
      </c>
      <c r="R69" s="73">
        <v>11089.155799999997</v>
      </c>
      <c r="S69" s="70">
        <v>9595.8179500000006</v>
      </c>
      <c r="T69" s="71">
        <v>15.562382047900316</v>
      </c>
      <c r="U69" s="74">
        <v>10</v>
      </c>
      <c r="V69" s="73">
        <v>1059.60151</v>
      </c>
      <c r="W69" s="73">
        <v>2003.3982900000001</v>
      </c>
      <c r="X69" s="71">
        <v>89.070916858168701</v>
      </c>
      <c r="Y69" s="74">
        <v>0</v>
      </c>
      <c r="Z69" s="74">
        <v>5</v>
      </c>
      <c r="AA69" s="74">
        <v>10</v>
      </c>
      <c r="AB69" s="74">
        <v>95</v>
      </c>
      <c r="AC69" s="75">
        <v>1.3380281690140845</v>
      </c>
      <c r="AD69" s="76" t="s">
        <v>107</v>
      </c>
    </row>
    <row r="70" spans="1:30" ht="25.5" x14ac:dyDescent="0.25">
      <c r="A70" s="65">
        <v>53</v>
      </c>
      <c r="B70" s="24" t="s">
        <v>76</v>
      </c>
      <c r="C70" s="66">
        <v>55</v>
      </c>
      <c r="D70" s="67">
        <v>85</v>
      </c>
      <c r="E70" s="68">
        <v>110</v>
      </c>
      <c r="F70" s="68">
        <v>65</v>
      </c>
      <c r="G70" s="69">
        <v>315</v>
      </c>
      <c r="H70" s="70">
        <v>43754.709659999993</v>
      </c>
      <c r="I70" s="70">
        <v>43753.971259999998</v>
      </c>
      <c r="J70" s="70">
        <v>0.73839999999472639</v>
      </c>
      <c r="K70" s="70">
        <v>1.3400000000372529E-2</v>
      </c>
      <c r="L70" s="71">
        <v>0.72499999999435383</v>
      </c>
      <c r="M70" s="67">
        <v>0</v>
      </c>
      <c r="N70" s="72">
        <v>0</v>
      </c>
      <c r="O70" s="70">
        <v>0</v>
      </c>
      <c r="P70" s="67">
        <v>0</v>
      </c>
      <c r="Q70" s="72">
        <v>0</v>
      </c>
      <c r="R70" s="73">
        <v>13184.011259999997</v>
      </c>
      <c r="S70" s="70">
        <v>10189.986666666666</v>
      </c>
      <c r="T70" s="71">
        <v>29.38202660389479</v>
      </c>
      <c r="U70" s="74">
        <v>0</v>
      </c>
      <c r="V70" s="73">
        <v>771.17822000000001</v>
      </c>
      <c r="W70" s="73">
        <v>755.0675500000001</v>
      </c>
      <c r="X70" s="71">
        <v>-2.0890981594371159</v>
      </c>
      <c r="Y70" s="74">
        <v>5</v>
      </c>
      <c r="Z70" s="74">
        <v>5</v>
      </c>
      <c r="AA70" s="74">
        <v>10</v>
      </c>
      <c r="AB70" s="74">
        <v>98.75</v>
      </c>
      <c r="AC70" s="75">
        <v>1.3908450704225352</v>
      </c>
      <c r="AD70" s="76" t="s">
        <v>107</v>
      </c>
    </row>
    <row r="71" spans="1:30" ht="25.5" x14ac:dyDescent="0.25">
      <c r="A71" s="65">
        <v>54</v>
      </c>
      <c r="B71" s="25" t="s">
        <v>77</v>
      </c>
      <c r="C71" s="66">
        <v>85</v>
      </c>
      <c r="D71" s="67">
        <v>85</v>
      </c>
      <c r="E71" s="68">
        <v>115</v>
      </c>
      <c r="F71" s="68">
        <v>65</v>
      </c>
      <c r="G71" s="69">
        <v>350</v>
      </c>
      <c r="H71" s="70">
        <v>15102.63283</v>
      </c>
      <c r="I71" s="70">
        <v>15093.53368</v>
      </c>
      <c r="J71" s="70">
        <v>9.0991500000000087</v>
      </c>
      <c r="K71" s="70">
        <v>1.912999999988824E-2</v>
      </c>
      <c r="L71" s="71">
        <v>9.0800200000001201</v>
      </c>
      <c r="M71" s="67">
        <v>0</v>
      </c>
      <c r="N71" s="72">
        <v>0</v>
      </c>
      <c r="O71" s="70">
        <v>2.1422799999999986</v>
      </c>
      <c r="P71" s="67">
        <v>0</v>
      </c>
      <c r="Q71" s="72">
        <v>0</v>
      </c>
      <c r="R71" s="73">
        <v>4502.36967</v>
      </c>
      <c r="S71" s="70">
        <v>3530.3880033333335</v>
      </c>
      <c r="T71" s="71">
        <v>27.531865215634589</v>
      </c>
      <c r="U71" s="74">
        <v>0</v>
      </c>
      <c r="V71" s="73">
        <v>73.410719999999998</v>
      </c>
      <c r="W71" s="73">
        <v>70.498100000000008</v>
      </c>
      <c r="X71" s="71">
        <v>-3.9675676794887584</v>
      </c>
      <c r="Y71" s="74">
        <v>5</v>
      </c>
      <c r="Z71" s="74">
        <v>5</v>
      </c>
      <c r="AA71" s="74">
        <v>10</v>
      </c>
      <c r="AB71" s="74">
        <v>107.5</v>
      </c>
      <c r="AC71" s="75">
        <v>1.5140845070422535</v>
      </c>
      <c r="AD71" s="76" t="s">
        <v>108</v>
      </c>
    </row>
    <row r="72" spans="1:30" ht="25.5" x14ac:dyDescent="0.25">
      <c r="A72" s="65">
        <v>55</v>
      </c>
      <c r="B72" s="25" t="s">
        <v>78</v>
      </c>
      <c r="C72" s="66">
        <v>65</v>
      </c>
      <c r="D72" s="67">
        <v>95</v>
      </c>
      <c r="E72" s="68">
        <v>115</v>
      </c>
      <c r="F72" s="68">
        <v>65</v>
      </c>
      <c r="G72" s="69">
        <v>340</v>
      </c>
      <c r="H72" s="70">
        <v>41770.642399999997</v>
      </c>
      <c r="I72" s="70">
        <v>41602.506420000005</v>
      </c>
      <c r="J72" s="70">
        <v>168.13597999999183</v>
      </c>
      <c r="K72" s="70">
        <v>0.73354000000003727</v>
      </c>
      <c r="L72" s="71">
        <v>167.4024399999918</v>
      </c>
      <c r="M72" s="67">
        <v>0</v>
      </c>
      <c r="N72" s="72">
        <v>0</v>
      </c>
      <c r="O72" s="70">
        <v>0</v>
      </c>
      <c r="P72" s="67">
        <v>0</v>
      </c>
      <c r="Q72" s="72">
        <v>0</v>
      </c>
      <c r="R72" s="73">
        <v>12559.209420000001</v>
      </c>
      <c r="S72" s="70">
        <v>9681.099000000002</v>
      </c>
      <c r="T72" s="71">
        <v>29.729170417532124</v>
      </c>
      <c r="U72" s="74">
        <v>0</v>
      </c>
      <c r="V72" s="73">
        <v>117.80471</v>
      </c>
      <c r="W72" s="73">
        <v>118.29792</v>
      </c>
      <c r="X72" s="71">
        <v>0.41866747093558898</v>
      </c>
      <c r="Y72" s="74">
        <v>5</v>
      </c>
      <c r="Z72" s="74">
        <v>5</v>
      </c>
      <c r="AA72" s="74">
        <v>10</v>
      </c>
      <c r="AB72" s="74">
        <v>105</v>
      </c>
      <c r="AC72" s="75">
        <v>1.4788732394366197</v>
      </c>
      <c r="AD72" s="76" t="s">
        <v>108</v>
      </c>
    </row>
    <row r="73" spans="1:30" ht="25.5" x14ac:dyDescent="0.25">
      <c r="A73" s="65">
        <v>56</v>
      </c>
      <c r="B73" s="24" t="s">
        <v>80</v>
      </c>
      <c r="C73" s="66">
        <v>65</v>
      </c>
      <c r="D73" s="67">
        <v>100</v>
      </c>
      <c r="E73" s="68">
        <v>105</v>
      </c>
      <c r="F73" s="68">
        <v>55</v>
      </c>
      <c r="G73" s="69">
        <v>325</v>
      </c>
      <c r="H73" s="70">
        <v>76572.793150000012</v>
      </c>
      <c r="I73" s="70">
        <v>76449.058420000001</v>
      </c>
      <c r="J73" s="70">
        <v>123.73473000001104</v>
      </c>
      <c r="K73" s="70">
        <v>0</v>
      </c>
      <c r="L73" s="71">
        <v>123.73473000001104</v>
      </c>
      <c r="M73" s="67">
        <v>0</v>
      </c>
      <c r="N73" s="72">
        <v>0</v>
      </c>
      <c r="O73" s="70">
        <v>95.520979999999994</v>
      </c>
      <c r="P73" s="67">
        <v>0.1</v>
      </c>
      <c r="Q73" s="72">
        <v>1</v>
      </c>
      <c r="R73" s="73">
        <v>23236.038420000001</v>
      </c>
      <c r="S73" s="70">
        <v>17737.673333333336</v>
      </c>
      <c r="T73" s="71">
        <v>30.998231748545734</v>
      </c>
      <c r="U73" s="74">
        <v>0</v>
      </c>
      <c r="V73" s="73">
        <v>689.95315000000005</v>
      </c>
      <c r="W73" s="73">
        <v>643.38157999999999</v>
      </c>
      <c r="X73" s="71">
        <v>-6.7499612111344174</v>
      </c>
      <c r="Y73" s="74">
        <v>5</v>
      </c>
      <c r="Z73" s="74">
        <v>5</v>
      </c>
      <c r="AA73" s="74">
        <v>10</v>
      </c>
      <c r="AB73" s="74">
        <v>100.25</v>
      </c>
      <c r="AC73" s="75">
        <v>1.4119718309859155</v>
      </c>
      <c r="AD73" s="76" t="s">
        <v>107</v>
      </c>
    </row>
    <row r="74" spans="1:30" ht="25.5" x14ac:dyDescent="0.25">
      <c r="A74" s="65">
        <v>57</v>
      </c>
      <c r="B74" s="24" t="s">
        <v>79</v>
      </c>
      <c r="C74" s="66">
        <v>65</v>
      </c>
      <c r="D74" s="67">
        <v>80</v>
      </c>
      <c r="E74" s="68">
        <v>95</v>
      </c>
      <c r="F74" s="68">
        <v>65</v>
      </c>
      <c r="G74" s="69">
        <v>305</v>
      </c>
      <c r="H74" s="70">
        <v>18043.32459</v>
      </c>
      <c r="I74" s="70">
        <v>18022.948379999998</v>
      </c>
      <c r="J74" s="70">
        <v>20.376210000002175</v>
      </c>
      <c r="K74" s="70">
        <v>0.53439000000013037</v>
      </c>
      <c r="L74" s="71">
        <v>19.841820000002045</v>
      </c>
      <c r="M74" s="67">
        <v>0</v>
      </c>
      <c r="N74" s="72">
        <v>0</v>
      </c>
      <c r="O74" s="70">
        <v>0</v>
      </c>
      <c r="P74" s="67">
        <v>0</v>
      </c>
      <c r="Q74" s="72">
        <v>0</v>
      </c>
      <c r="R74" s="73">
        <v>6151.0110100000002</v>
      </c>
      <c r="S74" s="70">
        <v>3957.3124566666661</v>
      </c>
      <c r="T74" s="71">
        <v>55.434049682827826</v>
      </c>
      <c r="U74" s="74">
        <v>0</v>
      </c>
      <c r="V74" s="73">
        <v>43.307610000000004</v>
      </c>
      <c r="W74" s="73">
        <v>37.564129999999999</v>
      </c>
      <c r="X74" s="71">
        <v>-13.262057176556279</v>
      </c>
      <c r="Y74" s="74">
        <v>5</v>
      </c>
      <c r="Z74" s="74">
        <v>5</v>
      </c>
      <c r="AA74" s="74">
        <v>10</v>
      </c>
      <c r="AB74" s="74">
        <v>96.25</v>
      </c>
      <c r="AC74" s="75">
        <v>1.3556338028169015</v>
      </c>
      <c r="AD74" s="76" t="s">
        <v>107</v>
      </c>
    </row>
    <row r="75" spans="1:30" ht="25.5" x14ac:dyDescent="0.25">
      <c r="A75" s="65">
        <v>58</v>
      </c>
      <c r="B75" s="24" t="s">
        <v>81</v>
      </c>
      <c r="C75" s="66">
        <v>85</v>
      </c>
      <c r="D75" s="67">
        <v>85</v>
      </c>
      <c r="E75" s="68">
        <v>115</v>
      </c>
      <c r="F75" s="68">
        <v>50</v>
      </c>
      <c r="G75" s="69">
        <v>335</v>
      </c>
      <c r="H75" s="70">
        <v>38244.284</v>
      </c>
      <c r="I75" s="70">
        <v>38244.264139999999</v>
      </c>
      <c r="J75" s="70">
        <v>1.9860000000335276E-2</v>
      </c>
      <c r="K75" s="70">
        <v>0</v>
      </c>
      <c r="L75" s="71">
        <v>1.9860000000335276E-2</v>
      </c>
      <c r="M75" s="67">
        <v>0</v>
      </c>
      <c r="N75" s="72">
        <v>0</v>
      </c>
      <c r="O75" s="70">
        <v>0</v>
      </c>
      <c r="P75" s="67">
        <v>0</v>
      </c>
      <c r="Q75" s="72">
        <v>0</v>
      </c>
      <c r="R75" s="73">
        <v>11450.775969999999</v>
      </c>
      <c r="S75" s="70">
        <v>8931.1627233333329</v>
      </c>
      <c r="T75" s="71">
        <v>28.211480685308608</v>
      </c>
      <c r="U75" s="74">
        <v>0</v>
      </c>
      <c r="V75" s="73">
        <v>498.22252000000003</v>
      </c>
      <c r="W75" s="73">
        <v>514.69354999999996</v>
      </c>
      <c r="X75" s="71">
        <v>3.3059585504083451</v>
      </c>
      <c r="Y75" s="74">
        <v>5</v>
      </c>
      <c r="Z75" s="74">
        <v>5</v>
      </c>
      <c r="AA75" s="74">
        <v>10</v>
      </c>
      <c r="AB75" s="74">
        <v>103.75</v>
      </c>
      <c r="AC75" s="75">
        <v>1.4612676056338028</v>
      </c>
      <c r="AD75" s="76" t="s">
        <v>108</v>
      </c>
    </row>
    <row r="76" spans="1:30" ht="15.75" x14ac:dyDescent="0.25">
      <c r="A76" s="65">
        <v>59</v>
      </c>
      <c r="B76" s="24" t="s">
        <v>91</v>
      </c>
      <c r="C76" s="66">
        <v>95</v>
      </c>
      <c r="D76" s="67">
        <v>115</v>
      </c>
      <c r="E76" s="68">
        <v>115</v>
      </c>
      <c r="F76" s="68">
        <v>65</v>
      </c>
      <c r="G76" s="69">
        <v>390</v>
      </c>
      <c r="H76" s="70">
        <v>79117.069019999995</v>
      </c>
      <c r="I76" s="70">
        <v>79086.407129999992</v>
      </c>
      <c r="J76" s="70">
        <v>30.661890000003041</v>
      </c>
      <c r="K76" s="70">
        <v>2.4080000000074507E-2</v>
      </c>
      <c r="L76" s="71">
        <v>30.637810000002965</v>
      </c>
      <c r="M76" s="67">
        <v>0</v>
      </c>
      <c r="N76" s="72">
        <v>0</v>
      </c>
      <c r="O76" s="70">
        <v>2.766980000000447</v>
      </c>
      <c r="P76" s="67">
        <v>0</v>
      </c>
      <c r="Q76" s="72">
        <v>0</v>
      </c>
      <c r="R76" s="73">
        <v>23367.387129999996</v>
      </c>
      <c r="S76" s="70">
        <v>18573.006666666664</v>
      </c>
      <c r="T76" s="71">
        <v>25.813701299843384</v>
      </c>
      <c r="U76" s="74">
        <v>0</v>
      </c>
      <c r="V76" s="73">
        <v>767.24095999999997</v>
      </c>
      <c r="W76" s="73">
        <v>842.23464000000001</v>
      </c>
      <c r="X76" s="71">
        <v>9.7744625104478313</v>
      </c>
      <c r="Y76" s="74">
        <v>0</v>
      </c>
      <c r="Z76" s="74">
        <v>5</v>
      </c>
      <c r="AA76" s="74">
        <v>10</v>
      </c>
      <c r="AB76" s="74">
        <v>112.5</v>
      </c>
      <c r="AC76" s="75">
        <v>1.5845070422535212</v>
      </c>
      <c r="AD76" s="76" t="s">
        <v>108</v>
      </c>
    </row>
    <row r="77" spans="1:30" ht="25.5" x14ac:dyDescent="0.25">
      <c r="A77" s="65">
        <v>60</v>
      </c>
      <c r="B77" s="24" t="s">
        <v>83</v>
      </c>
      <c r="C77" s="66">
        <v>80</v>
      </c>
      <c r="D77" s="67">
        <v>100</v>
      </c>
      <c r="E77" s="68">
        <v>115</v>
      </c>
      <c r="F77" s="68">
        <v>65</v>
      </c>
      <c r="G77" s="69">
        <v>360</v>
      </c>
      <c r="H77" s="70">
        <v>16961.356680000001</v>
      </c>
      <c r="I77" s="70">
        <v>16929.776129999998</v>
      </c>
      <c r="J77" s="70">
        <v>31.580550000002404</v>
      </c>
      <c r="K77" s="70">
        <v>2.6640000000130386E-2</v>
      </c>
      <c r="L77" s="71">
        <v>31.553910000002272</v>
      </c>
      <c r="M77" s="67">
        <v>0</v>
      </c>
      <c r="N77" s="72">
        <v>0</v>
      </c>
      <c r="O77" s="70">
        <v>1.2405800000000744</v>
      </c>
      <c r="P77" s="67">
        <v>0</v>
      </c>
      <c r="Q77" s="72">
        <v>0</v>
      </c>
      <c r="R77" s="73">
        <v>4951.5644799999982</v>
      </c>
      <c r="S77" s="70">
        <v>3992.7372166666669</v>
      </c>
      <c r="T77" s="71">
        <v>24.014284219130438</v>
      </c>
      <c r="U77" s="74">
        <v>10</v>
      </c>
      <c r="V77" s="73">
        <v>484.45860999999996</v>
      </c>
      <c r="W77" s="73">
        <v>459.62045000000001</v>
      </c>
      <c r="X77" s="71">
        <v>-5.1269932017515307</v>
      </c>
      <c r="Y77" s="74">
        <v>5</v>
      </c>
      <c r="Z77" s="74">
        <v>5</v>
      </c>
      <c r="AA77" s="74">
        <v>10</v>
      </c>
      <c r="AB77" s="74">
        <v>120</v>
      </c>
      <c r="AC77" s="75">
        <v>1.6901408450704225</v>
      </c>
      <c r="AD77" s="76" t="s">
        <v>106</v>
      </c>
    </row>
    <row r="78" spans="1:30" ht="25.5" x14ac:dyDescent="0.25">
      <c r="A78" s="65">
        <v>61</v>
      </c>
      <c r="B78" s="24" t="s">
        <v>84</v>
      </c>
      <c r="C78" s="66">
        <v>95</v>
      </c>
      <c r="D78" s="67">
        <v>115</v>
      </c>
      <c r="E78" s="68">
        <v>115</v>
      </c>
      <c r="F78" s="68">
        <v>50</v>
      </c>
      <c r="G78" s="69">
        <v>375</v>
      </c>
      <c r="H78" s="70">
        <v>15503.949000000001</v>
      </c>
      <c r="I78" s="70">
        <v>15470.696169999999</v>
      </c>
      <c r="J78" s="70">
        <v>33.252830000001268</v>
      </c>
      <c r="K78" s="70">
        <v>0.47814000000013041</v>
      </c>
      <c r="L78" s="71">
        <v>32.774690000001137</v>
      </c>
      <c r="M78" s="67">
        <v>0</v>
      </c>
      <c r="N78" s="72">
        <v>0</v>
      </c>
      <c r="O78" s="70">
        <v>0</v>
      </c>
      <c r="P78" s="67">
        <v>0</v>
      </c>
      <c r="Q78" s="72">
        <v>0</v>
      </c>
      <c r="R78" s="73">
        <v>4567.3361699999996</v>
      </c>
      <c r="S78" s="70">
        <v>3634.4533333333334</v>
      </c>
      <c r="T78" s="71">
        <v>25.66776213937721</v>
      </c>
      <c r="U78" s="74">
        <v>0</v>
      </c>
      <c r="V78" s="73">
        <v>4.18241</v>
      </c>
      <c r="W78" s="73">
        <v>4.8279199999999998</v>
      </c>
      <c r="X78" s="71">
        <v>15.433924459821007</v>
      </c>
      <c r="Y78" s="74">
        <v>0</v>
      </c>
      <c r="Z78" s="74">
        <v>5</v>
      </c>
      <c r="AA78" s="74">
        <v>10</v>
      </c>
      <c r="AB78" s="74">
        <v>108.75</v>
      </c>
      <c r="AC78" s="75">
        <v>1.5316901408450705</v>
      </c>
      <c r="AD78" s="76" t="s">
        <v>108</v>
      </c>
    </row>
    <row r="79" spans="1:30" ht="25.5" x14ac:dyDescent="0.25">
      <c r="A79" s="65">
        <v>62</v>
      </c>
      <c r="B79" s="24" t="s">
        <v>85</v>
      </c>
      <c r="C79" s="66">
        <v>65</v>
      </c>
      <c r="D79" s="67">
        <v>115</v>
      </c>
      <c r="E79" s="68">
        <v>115</v>
      </c>
      <c r="F79" s="68">
        <v>65</v>
      </c>
      <c r="G79" s="69">
        <v>360</v>
      </c>
      <c r="H79" s="70">
        <v>24226.931530000002</v>
      </c>
      <c r="I79" s="70">
        <v>24198.44382</v>
      </c>
      <c r="J79" s="70">
        <v>28.487710000001243</v>
      </c>
      <c r="K79" s="70">
        <v>6.6000000000000003E-2</v>
      </c>
      <c r="L79" s="71">
        <v>28.421710000001244</v>
      </c>
      <c r="M79" s="67">
        <v>0</v>
      </c>
      <c r="N79" s="72">
        <v>0</v>
      </c>
      <c r="O79" s="70">
        <v>3.0971199999999999</v>
      </c>
      <c r="P79" s="67">
        <v>0</v>
      </c>
      <c r="Q79" s="72">
        <v>0</v>
      </c>
      <c r="R79" s="73">
        <v>6824.7838200000006</v>
      </c>
      <c r="S79" s="70">
        <v>5791.22</v>
      </c>
      <c r="T79" s="71">
        <v>17.847082652705307</v>
      </c>
      <c r="U79" s="74">
        <v>10</v>
      </c>
      <c r="V79" s="73">
        <v>341.31332000000003</v>
      </c>
      <c r="W79" s="73">
        <v>312.38013000000001</v>
      </c>
      <c r="X79" s="71">
        <v>-8.4770175391924418</v>
      </c>
      <c r="Y79" s="74">
        <v>5</v>
      </c>
      <c r="Z79" s="74">
        <v>5</v>
      </c>
      <c r="AA79" s="74">
        <v>10</v>
      </c>
      <c r="AB79" s="74">
        <v>120</v>
      </c>
      <c r="AC79" s="75">
        <v>1.6901408450704225</v>
      </c>
      <c r="AD79" s="76" t="s">
        <v>106</v>
      </c>
    </row>
    <row r="80" spans="1:30" ht="15.75" x14ac:dyDescent="0.25">
      <c r="A80" s="65">
        <v>63</v>
      </c>
      <c r="B80" s="24" t="s">
        <v>86</v>
      </c>
      <c r="C80" s="66">
        <v>95</v>
      </c>
      <c r="D80" s="67">
        <v>85</v>
      </c>
      <c r="E80" s="68">
        <v>115</v>
      </c>
      <c r="F80" s="68">
        <v>65</v>
      </c>
      <c r="G80" s="69">
        <v>360</v>
      </c>
      <c r="H80" s="70">
        <v>20607.009559999999</v>
      </c>
      <c r="I80" s="70">
        <v>20576.35428</v>
      </c>
      <c r="J80" s="70">
        <v>30.655279999999038</v>
      </c>
      <c r="K80" s="70">
        <v>4.1999999992549419E-4</v>
      </c>
      <c r="L80" s="71">
        <v>30.654859999999111</v>
      </c>
      <c r="M80" s="67">
        <v>0</v>
      </c>
      <c r="N80" s="72">
        <v>0</v>
      </c>
      <c r="O80" s="70">
        <v>5.3253199999999996</v>
      </c>
      <c r="P80" s="67">
        <v>0</v>
      </c>
      <c r="Q80" s="72">
        <v>0</v>
      </c>
      <c r="R80" s="73">
        <v>6036.9942800000008</v>
      </c>
      <c r="S80" s="70">
        <v>4846.4533333333329</v>
      </c>
      <c r="T80" s="71">
        <v>24.565199843734554</v>
      </c>
      <c r="U80" s="74">
        <v>10</v>
      </c>
      <c r="V80" s="73">
        <v>18.053180000000001</v>
      </c>
      <c r="W80" s="73">
        <v>14.134209999999999</v>
      </c>
      <c r="X80" s="71">
        <v>-21.707920709814012</v>
      </c>
      <c r="Y80" s="74">
        <v>5</v>
      </c>
      <c r="Z80" s="74">
        <v>5</v>
      </c>
      <c r="AA80" s="74">
        <v>10</v>
      </c>
      <c r="AB80" s="74">
        <v>120</v>
      </c>
      <c r="AC80" s="75">
        <v>1.6901408450704225</v>
      </c>
      <c r="AD80" s="76" t="s">
        <v>106</v>
      </c>
    </row>
    <row r="81" spans="1:30" ht="25.5" x14ac:dyDescent="0.25">
      <c r="A81" s="65">
        <v>64</v>
      </c>
      <c r="B81" s="24" t="s">
        <v>87</v>
      </c>
      <c r="C81" s="66">
        <v>95</v>
      </c>
      <c r="D81" s="67">
        <v>100</v>
      </c>
      <c r="E81" s="68">
        <v>115</v>
      </c>
      <c r="F81" s="68">
        <v>65</v>
      </c>
      <c r="G81" s="69">
        <v>375</v>
      </c>
      <c r="H81" s="70">
        <v>22012.149359999999</v>
      </c>
      <c r="I81" s="70">
        <v>21894.788339999999</v>
      </c>
      <c r="J81" s="70">
        <v>117.36102000000028</v>
      </c>
      <c r="K81" s="70">
        <v>36.392799999999816</v>
      </c>
      <c r="L81" s="71">
        <v>80.968220000000457</v>
      </c>
      <c r="M81" s="67">
        <v>0</v>
      </c>
      <c r="N81" s="72">
        <v>0</v>
      </c>
      <c r="O81" s="70">
        <v>15.170209999999999</v>
      </c>
      <c r="P81" s="67">
        <v>0.1</v>
      </c>
      <c r="Q81" s="72">
        <v>1</v>
      </c>
      <c r="R81" s="73">
        <v>5817.7283399999997</v>
      </c>
      <c r="S81" s="70">
        <v>5359.0199999999995</v>
      </c>
      <c r="T81" s="71">
        <v>8.5595564114334373</v>
      </c>
      <c r="U81" s="74">
        <v>10</v>
      </c>
      <c r="V81" s="73">
        <v>38.278580000000005</v>
      </c>
      <c r="W81" s="73">
        <v>53.679110000000001</v>
      </c>
      <c r="X81" s="71">
        <v>40.232762030357435</v>
      </c>
      <c r="Y81" s="74">
        <v>0</v>
      </c>
      <c r="Z81" s="74">
        <v>5</v>
      </c>
      <c r="AA81" s="74">
        <v>10</v>
      </c>
      <c r="AB81" s="74">
        <v>117.75</v>
      </c>
      <c r="AC81" s="75">
        <v>1.658450704225352</v>
      </c>
      <c r="AD81" s="76" t="s">
        <v>106</v>
      </c>
    </row>
    <row r="82" spans="1:30" ht="51" x14ac:dyDescent="0.25">
      <c r="A82" s="65">
        <v>65</v>
      </c>
      <c r="B82" s="24" t="s">
        <v>88</v>
      </c>
      <c r="C82" s="66">
        <v>65</v>
      </c>
      <c r="D82" s="67">
        <v>100</v>
      </c>
      <c r="E82" s="68">
        <v>115</v>
      </c>
      <c r="F82" s="68">
        <v>65</v>
      </c>
      <c r="G82" s="69">
        <v>345</v>
      </c>
      <c r="H82" s="70">
        <v>65065.643349999998</v>
      </c>
      <c r="I82" s="70">
        <v>64685.178820000001</v>
      </c>
      <c r="J82" s="70">
        <v>380.46452999999747</v>
      </c>
      <c r="K82" s="70">
        <v>0</v>
      </c>
      <c r="L82" s="71">
        <v>380.46452999999747</v>
      </c>
      <c r="M82" s="67">
        <v>1</v>
      </c>
      <c r="N82" s="72">
        <v>1</v>
      </c>
      <c r="O82" s="70">
        <v>84.684330000000003</v>
      </c>
      <c r="P82" s="67">
        <v>0.1</v>
      </c>
      <c r="Q82" s="72">
        <v>1</v>
      </c>
      <c r="R82" s="73">
        <v>18661.308820000002</v>
      </c>
      <c r="S82" s="70">
        <v>15341.289999999999</v>
      </c>
      <c r="T82" s="71">
        <v>21.641066820326081</v>
      </c>
      <c r="U82" s="74">
        <v>10</v>
      </c>
      <c r="V82" s="73">
        <v>749.04918999999995</v>
      </c>
      <c r="W82" s="73">
        <v>775.92239000000006</v>
      </c>
      <c r="X82" s="71">
        <v>3.587641553954569</v>
      </c>
      <c r="Y82" s="74">
        <v>5</v>
      </c>
      <c r="Z82" s="74">
        <v>5</v>
      </c>
      <c r="AA82" s="74">
        <v>10</v>
      </c>
      <c r="AB82" s="74">
        <v>114.25</v>
      </c>
      <c r="AC82" s="75">
        <v>1.6091549295774648</v>
      </c>
      <c r="AD82" s="76" t="s">
        <v>108</v>
      </c>
    </row>
    <row r="83" spans="1:30" ht="25.5" x14ac:dyDescent="0.25">
      <c r="A83" s="65">
        <v>66</v>
      </c>
      <c r="B83" s="24" t="s">
        <v>89</v>
      </c>
      <c r="C83" s="66">
        <v>55</v>
      </c>
      <c r="D83" s="67">
        <v>65</v>
      </c>
      <c r="E83" s="68">
        <v>105</v>
      </c>
      <c r="F83" s="68">
        <v>65</v>
      </c>
      <c r="G83" s="69">
        <v>290</v>
      </c>
      <c r="H83" s="70">
        <v>21062.513999999999</v>
      </c>
      <c r="I83" s="70">
        <v>20782.910059999998</v>
      </c>
      <c r="J83" s="70">
        <v>279.60394000000088</v>
      </c>
      <c r="K83" s="70">
        <v>6.3020000000018631E-2</v>
      </c>
      <c r="L83" s="71">
        <v>279.54092000000088</v>
      </c>
      <c r="M83" s="67">
        <v>1</v>
      </c>
      <c r="N83" s="72">
        <v>1</v>
      </c>
      <c r="O83" s="70">
        <v>0</v>
      </c>
      <c r="P83" s="67">
        <v>0</v>
      </c>
      <c r="Q83" s="72">
        <v>0</v>
      </c>
      <c r="R83" s="73">
        <v>6206.8289899999982</v>
      </c>
      <c r="S83" s="70">
        <v>4858.6936900000001</v>
      </c>
      <c r="T83" s="71">
        <v>27.746867491866894</v>
      </c>
      <c r="U83" s="74">
        <v>0</v>
      </c>
      <c r="V83" s="73">
        <v>270.32661999999999</v>
      </c>
      <c r="W83" s="73">
        <v>101.82597</v>
      </c>
      <c r="X83" s="71">
        <v>-62.332244600994166</v>
      </c>
      <c r="Y83" s="74">
        <v>5</v>
      </c>
      <c r="Z83" s="74">
        <v>5</v>
      </c>
      <c r="AA83" s="74">
        <v>10</v>
      </c>
      <c r="AB83" s="74">
        <v>91.5</v>
      </c>
      <c r="AC83" s="75">
        <v>1.2887323943661972</v>
      </c>
      <c r="AD83" s="76" t="s">
        <v>107</v>
      </c>
    </row>
    <row r="84" spans="1:30" ht="25.5" x14ac:dyDescent="0.25">
      <c r="A84" s="65">
        <v>67</v>
      </c>
      <c r="B84" s="24" t="s">
        <v>90</v>
      </c>
      <c r="C84" s="66">
        <v>55</v>
      </c>
      <c r="D84" s="67">
        <v>75</v>
      </c>
      <c r="E84" s="68">
        <v>95</v>
      </c>
      <c r="F84" s="68">
        <v>65</v>
      </c>
      <c r="G84" s="69">
        <v>290</v>
      </c>
      <c r="H84" s="70">
        <v>14468.233</v>
      </c>
      <c r="I84" s="70">
        <v>14412.23725</v>
      </c>
      <c r="J84" s="70">
        <v>55.995750000000044</v>
      </c>
      <c r="K84" s="70">
        <v>0.10570000000018627</v>
      </c>
      <c r="L84" s="71">
        <v>55.89004999999986</v>
      </c>
      <c r="M84" s="67">
        <v>0</v>
      </c>
      <c r="N84" s="72">
        <v>0</v>
      </c>
      <c r="O84" s="70">
        <v>0</v>
      </c>
      <c r="P84" s="67">
        <v>0</v>
      </c>
      <c r="Q84" s="72">
        <v>0</v>
      </c>
      <c r="R84" s="73">
        <v>4581.0772500000003</v>
      </c>
      <c r="S84" s="70">
        <v>3277.0533333333333</v>
      </c>
      <c r="T84" s="71">
        <v>39.792575342075615</v>
      </c>
      <c r="U84" s="74">
        <v>0</v>
      </c>
      <c r="V84" s="73">
        <v>119.61149</v>
      </c>
      <c r="W84" s="73">
        <v>134.02973</v>
      </c>
      <c r="X84" s="71">
        <v>12.054226563016645</v>
      </c>
      <c r="Y84" s="74">
        <v>0</v>
      </c>
      <c r="Z84" s="74">
        <v>5</v>
      </c>
      <c r="AA84" s="74">
        <v>10</v>
      </c>
      <c r="AB84" s="74">
        <v>87.5</v>
      </c>
      <c r="AC84" s="75">
        <v>1.232394366197183</v>
      </c>
      <c r="AD84" s="76" t="s">
        <v>104</v>
      </c>
    </row>
    <row r="85" spans="1:30" ht="25.5" x14ac:dyDescent="0.25">
      <c r="A85" s="65">
        <v>68</v>
      </c>
      <c r="B85" s="24" t="s">
        <v>93</v>
      </c>
      <c r="C85" s="66">
        <v>90</v>
      </c>
      <c r="D85" s="67">
        <v>95</v>
      </c>
      <c r="E85" s="68">
        <v>105</v>
      </c>
      <c r="F85" s="68">
        <v>60</v>
      </c>
      <c r="G85" s="69">
        <v>350</v>
      </c>
      <c r="H85" s="70">
        <v>43894.358</v>
      </c>
      <c r="I85" s="70">
        <v>43879.502840000001</v>
      </c>
      <c r="J85" s="70">
        <v>14.855159999999159</v>
      </c>
      <c r="K85" s="70">
        <v>6.7839800000004473</v>
      </c>
      <c r="L85" s="71">
        <v>8.0711799999987122</v>
      </c>
      <c r="M85" s="67">
        <v>0</v>
      </c>
      <c r="N85" s="72">
        <v>0</v>
      </c>
      <c r="O85" s="70">
        <v>0</v>
      </c>
      <c r="P85" s="67">
        <v>0</v>
      </c>
      <c r="Q85" s="72">
        <v>0</v>
      </c>
      <c r="R85" s="73">
        <v>13023.470840000004</v>
      </c>
      <c r="S85" s="70">
        <v>10285.343999999999</v>
      </c>
      <c r="T85" s="71">
        <v>26.621635990006798</v>
      </c>
      <c r="U85" s="74">
        <v>0</v>
      </c>
      <c r="V85" s="73">
        <v>1013.2506</v>
      </c>
      <c r="W85" s="73">
        <v>1289.0163300000002</v>
      </c>
      <c r="X85" s="71">
        <v>27.215945393962777</v>
      </c>
      <c r="Y85" s="74">
        <v>0</v>
      </c>
      <c r="Z85" s="74">
        <v>5</v>
      </c>
      <c r="AA85" s="74">
        <v>10</v>
      </c>
      <c r="AB85" s="74">
        <v>102.5</v>
      </c>
      <c r="AC85" s="75">
        <v>1.443661971830986</v>
      </c>
      <c r="AD85" s="76" t="s">
        <v>107</v>
      </c>
    </row>
    <row r="86" spans="1:30" ht="25.5" x14ac:dyDescent="0.25">
      <c r="A86" s="65">
        <v>69</v>
      </c>
      <c r="B86" s="24" t="s">
        <v>94</v>
      </c>
      <c r="C86" s="66">
        <v>95</v>
      </c>
      <c r="D86" s="67">
        <v>80</v>
      </c>
      <c r="E86" s="68">
        <v>105</v>
      </c>
      <c r="F86" s="68">
        <v>65</v>
      </c>
      <c r="G86" s="69">
        <v>345</v>
      </c>
      <c r="H86" s="70">
        <v>12680.26424</v>
      </c>
      <c r="I86" s="70">
        <v>12678.971730000001</v>
      </c>
      <c r="J86" s="70">
        <v>1.2925099999993108</v>
      </c>
      <c r="K86" s="70">
        <v>0.39427000000001861</v>
      </c>
      <c r="L86" s="71">
        <v>0.89823999999929227</v>
      </c>
      <c r="M86" s="67">
        <v>0</v>
      </c>
      <c r="N86" s="72">
        <v>0</v>
      </c>
      <c r="O86" s="70">
        <v>0</v>
      </c>
      <c r="P86" s="67">
        <v>0</v>
      </c>
      <c r="Q86" s="72">
        <v>0</v>
      </c>
      <c r="R86" s="73">
        <v>4088.0117300000006</v>
      </c>
      <c r="S86" s="70">
        <v>2863.6533333333336</v>
      </c>
      <c r="T86" s="71">
        <v>42.75511921834115</v>
      </c>
      <c r="U86" s="74">
        <v>0</v>
      </c>
      <c r="V86" s="73">
        <v>88.436820000000012</v>
      </c>
      <c r="W86" s="73">
        <v>92.436820000000012</v>
      </c>
      <c r="X86" s="71">
        <v>4.5230029754575067</v>
      </c>
      <c r="Y86" s="74">
        <v>0</v>
      </c>
      <c r="Z86" s="74">
        <v>5</v>
      </c>
      <c r="AA86" s="74">
        <v>10</v>
      </c>
      <c r="AB86" s="74">
        <v>101.25</v>
      </c>
      <c r="AC86" s="75">
        <v>1.426056338028169</v>
      </c>
      <c r="AD86" s="76" t="s">
        <v>107</v>
      </c>
    </row>
    <row r="87" spans="1:30" ht="25.5" x14ac:dyDescent="0.25">
      <c r="A87" s="65">
        <v>70</v>
      </c>
      <c r="B87" s="24" t="s">
        <v>95</v>
      </c>
      <c r="C87" s="66">
        <v>55</v>
      </c>
      <c r="D87" s="67">
        <v>115</v>
      </c>
      <c r="E87" s="68">
        <v>115</v>
      </c>
      <c r="F87" s="68">
        <v>55</v>
      </c>
      <c r="G87" s="69">
        <v>340</v>
      </c>
      <c r="H87" s="70">
        <v>16750.402999999998</v>
      </c>
      <c r="I87" s="70">
        <v>16739.91677</v>
      </c>
      <c r="J87" s="70">
        <v>10.486229999998613</v>
      </c>
      <c r="K87" s="70">
        <v>2.4942200000002051</v>
      </c>
      <c r="L87" s="71">
        <v>7.9920099999984089</v>
      </c>
      <c r="M87" s="67">
        <v>0</v>
      </c>
      <c r="N87" s="72">
        <v>0</v>
      </c>
      <c r="O87" s="70">
        <v>0</v>
      </c>
      <c r="P87" s="67">
        <v>0</v>
      </c>
      <c r="Q87" s="72">
        <v>0</v>
      </c>
      <c r="R87" s="73">
        <v>5238.5467699999999</v>
      </c>
      <c r="S87" s="70">
        <v>3833.7899999999995</v>
      </c>
      <c r="T87" s="71">
        <v>36.641463669110742</v>
      </c>
      <c r="U87" s="74">
        <v>0</v>
      </c>
      <c r="V87" s="73">
        <v>224.17085</v>
      </c>
      <c r="W87" s="73">
        <v>215.0299</v>
      </c>
      <c r="X87" s="71">
        <v>-4.0776711155799266</v>
      </c>
      <c r="Y87" s="74">
        <v>5</v>
      </c>
      <c r="Z87" s="74">
        <v>5</v>
      </c>
      <c r="AA87" s="74">
        <v>10</v>
      </c>
      <c r="AB87" s="74">
        <v>105</v>
      </c>
      <c r="AC87" s="75">
        <v>1.4788732394366197</v>
      </c>
      <c r="AD87" s="76" t="s">
        <v>108</v>
      </c>
    </row>
    <row r="88" spans="1:30" ht="25.5" x14ac:dyDescent="0.25">
      <c r="A88" s="65">
        <v>71</v>
      </c>
      <c r="B88" s="24" t="s">
        <v>97</v>
      </c>
      <c r="C88" s="66">
        <v>45</v>
      </c>
      <c r="D88" s="67">
        <v>65</v>
      </c>
      <c r="E88" s="68">
        <v>95</v>
      </c>
      <c r="F88" s="68">
        <v>65</v>
      </c>
      <c r="G88" s="69">
        <v>270</v>
      </c>
      <c r="H88" s="70">
        <v>19641.878000000001</v>
      </c>
      <c r="I88" s="70">
        <v>19615.998879999999</v>
      </c>
      <c r="J88" s="70">
        <v>25.879120000001421</v>
      </c>
      <c r="K88" s="70">
        <v>0</v>
      </c>
      <c r="L88" s="71">
        <v>25.879120000001421</v>
      </c>
      <c r="M88" s="67">
        <v>0</v>
      </c>
      <c r="N88" s="72">
        <v>0</v>
      </c>
      <c r="O88" s="70">
        <v>38.078449999999997</v>
      </c>
      <c r="P88" s="67">
        <v>0.2</v>
      </c>
      <c r="Q88" s="72">
        <v>2</v>
      </c>
      <c r="R88" s="73">
        <v>6258.0049999999983</v>
      </c>
      <c r="S88" s="70">
        <v>4452.6646266666676</v>
      </c>
      <c r="T88" s="71">
        <v>40.54516844860234</v>
      </c>
      <c r="U88" s="74">
        <v>0</v>
      </c>
      <c r="V88" s="73">
        <v>957.64382999999998</v>
      </c>
      <c r="W88" s="73">
        <v>692.01383999999996</v>
      </c>
      <c r="X88" s="71">
        <v>-27.73786889014886</v>
      </c>
      <c r="Y88" s="74">
        <v>5</v>
      </c>
      <c r="Z88" s="74">
        <v>5</v>
      </c>
      <c r="AA88" s="74">
        <v>10</v>
      </c>
      <c r="AB88" s="74">
        <v>85.5</v>
      </c>
      <c r="AC88" s="75">
        <v>1.204225352112676</v>
      </c>
      <c r="AD88" s="76" t="s">
        <v>104</v>
      </c>
    </row>
    <row r="89" spans="1:30" x14ac:dyDescent="0.25">
      <c r="A89" s="10"/>
      <c r="B89" s="11"/>
      <c r="C89" s="12"/>
      <c r="D89" s="13"/>
      <c r="E89" s="13"/>
      <c r="F89" s="13"/>
      <c r="G89" s="14"/>
      <c r="H89" s="18">
        <f>SUM(H18:H88)</f>
        <v>2196271.7646299996</v>
      </c>
      <c r="I89" s="18">
        <f>SUM(I18:I88)</f>
        <v>2190832.8843</v>
      </c>
      <c r="J89" s="16"/>
      <c r="K89" s="78">
        <f>SUM(K18:K88)</f>
        <v>494.9872600000017</v>
      </c>
      <c r="L89" s="78"/>
      <c r="M89" s="79"/>
      <c r="N89" s="80"/>
      <c r="O89" s="81">
        <f>SUM(O18:O88)</f>
        <v>1329.6361200000006</v>
      </c>
      <c r="P89" s="80"/>
      <c r="Q89" s="80"/>
      <c r="R89" s="19">
        <f>SUM(R18:R88)</f>
        <v>655482.9094499998</v>
      </c>
      <c r="S89" s="81">
        <f>SUM(S18:S88)</f>
        <v>511783.3249500001</v>
      </c>
      <c r="T89" s="82"/>
      <c r="U89" s="82"/>
      <c r="V89" s="19">
        <f>SUM(V18:V88)</f>
        <v>28130.715410000001</v>
      </c>
      <c r="W89" s="19">
        <f>SUM(W18:W88)</f>
        <v>28199.157260000004</v>
      </c>
      <c r="X89" s="82"/>
      <c r="Y89" s="82"/>
      <c r="Z89" s="82"/>
      <c r="AA89" s="82"/>
      <c r="AB89" s="17"/>
      <c r="AC89" s="83"/>
      <c r="AD89" s="22"/>
    </row>
    <row r="90" spans="1:30" x14ac:dyDescent="0.25">
      <c r="A90" s="1"/>
      <c r="B90" s="11"/>
      <c r="C90" s="18"/>
      <c r="D90" s="16"/>
      <c r="E90" s="16"/>
      <c r="F90" s="16"/>
      <c r="G90" s="19"/>
      <c r="H90" s="1"/>
      <c r="I90" s="1"/>
      <c r="J90" s="1"/>
      <c r="K90" s="84"/>
      <c r="L90" s="84"/>
      <c r="M90" s="79"/>
      <c r="N90" s="16"/>
      <c r="O90" s="16"/>
      <c r="P90" s="16"/>
      <c r="Q90" s="16"/>
      <c r="R90" s="16"/>
      <c r="S90" s="16"/>
      <c r="T90" s="16"/>
      <c r="U90" s="1"/>
      <c r="V90" s="1"/>
      <c r="W90" s="1"/>
      <c r="X90" s="1"/>
      <c r="Y90" s="1"/>
      <c r="Z90" s="1"/>
      <c r="AA90" s="1"/>
      <c r="AB90" s="18"/>
      <c r="AC90" s="83"/>
      <c r="AD90" s="22"/>
    </row>
    <row r="91" spans="1:30" x14ac:dyDescent="0.25">
      <c r="A91" s="1"/>
      <c r="B91" s="11"/>
      <c r="C91" s="18"/>
      <c r="D91" s="16"/>
      <c r="E91" s="16"/>
      <c r="F91" s="16"/>
      <c r="G91" s="19"/>
      <c r="H91" s="1"/>
      <c r="I91" s="1"/>
      <c r="J91" s="1"/>
      <c r="K91" s="84"/>
      <c r="L91" s="84"/>
      <c r="M91" s="79"/>
      <c r="N91" s="16"/>
      <c r="O91" s="16"/>
      <c r="P91" s="16"/>
      <c r="Q91" s="16"/>
      <c r="R91" s="16"/>
      <c r="S91" s="16"/>
      <c r="T91" s="16"/>
      <c r="U91" s="1"/>
      <c r="V91" s="1"/>
      <c r="W91" s="1"/>
      <c r="X91" s="1"/>
      <c r="Y91" s="1"/>
      <c r="Z91" s="1"/>
      <c r="AA91" s="1"/>
      <c r="AB91" s="18"/>
      <c r="AC91" s="83"/>
      <c r="AD91" s="22"/>
    </row>
    <row r="92" spans="1:30" x14ac:dyDescent="0.25">
      <c r="A92" s="1"/>
      <c r="B92" s="11"/>
      <c r="C92" s="18"/>
      <c r="D92" s="16"/>
      <c r="E92" s="16"/>
      <c r="F92" s="16"/>
      <c r="G92" s="19"/>
      <c r="H92" s="1"/>
      <c r="I92" s="1"/>
      <c r="J92" s="1"/>
      <c r="K92" s="84"/>
      <c r="L92" s="84"/>
      <c r="M92" s="79"/>
      <c r="N92" s="16"/>
      <c r="O92" s="16"/>
      <c r="P92" s="16"/>
      <c r="Q92" s="16"/>
      <c r="R92" s="16"/>
      <c r="S92" s="16"/>
      <c r="T92" s="16"/>
      <c r="U92" s="1"/>
      <c r="V92" s="1"/>
      <c r="W92" s="1"/>
      <c r="X92" s="1"/>
      <c r="Y92" s="1"/>
      <c r="Z92" s="1"/>
      <c r="AA92" s="1"/>
      <c r="AB92" s="18"/>
      <c r="AC92" s="83"/>
      <c r="AD92" s="22"/>
    </row>
    <row r="93" spans="1:30" x14ac:dyDescent="0.25">
      <c r="A93" s="1"/>
      <c r="B93" s="11"/>
      <c r="C93" s="18"/>
      <c r="D93" s="16"/>
      <c r="E93" s="16"/>
      <c r="F93" s="16"/>
      <c r="G93" s="19"/>
      <c r="H93" s="1"/>
      <c r="I93" s="1"/>
      <c r="J93" s="1"/>
      <c r="K93" s="84"/>
      <c r="L93" s="84"/>
      <c r="M93" s="79"/>
      <c r="N93" s="16"/>
      <c r="O93" s="16"/>
      <c r="P93" s="16"/>
      <c r="Q93" s="16"/>
      <c r="R93" s="16"/>
      <c r="S93" s="16"/>
      <c r="T93" s="16"/>
      <c r="U93" s="1"/>
      <c r="V93" s="1"/>
      <c r="W93" s="1"/>
      <c r="X93" s="1"/>
      <c r="Y93" s="1"/>
      <c r="Z93" s="1"/>
      <c r="AA93" s="1"/>
      <c r="AB93" s="18"/>
      <c r="AC93" s="83"/>
      <c r="AD93" s="22"/>
    </row>
    <row r="94" spans="1:30" x14ac:dyDescent="0.25">
      <c r="A94" s="1"/>
      <c r="B94" s="11"/>
      <c r="C94" s="18"/>
      <c r="D94" s="16"/>
      <c r="E94" s="16"/>
      <c r="F94" s="16"/>
      <c r="G94" s="19"/>
      <c r="H94" s="1"/>
      <c r="I94" s="1"/>
      <c r="J94" s="16"/>
      <c r="K94" s="16"/>
      <c r="L94" s="16"/>
      <c r="M94" s="79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"/>
      <c r="AC94" s="83"/>
      <c r="AD94" s="22"/>
    </row>
    <row r="95" spans="1:30" ht="23.25" x14ac:dyDescent="0.35">
      <c r="A95" s="49"/>
      <c r="B95" s="214" t="s">
        <v>159</v>
      </c>
      <c r="C95" s="214"/>
      <c r="D95" s="214"/>
      <c r="E95" s="214"/>
      <c r="F95" s="214"/>
      <c r="G95" s="215"/>
      <c r="H95" s="215"/>
      <c r="I95" s="215"/>
      <c r="J95" s="49"/>
      <c r="K95" s="49"/>
      <c r="L95" s="49"/>
      <c r="M95" s="215" t="s">
        <v>109</v>
      </c>
      <c r="N95" s="215"/>
      <c r="O95" s="85"/>
      <c r="P95" s="85"/>
      <c r="Q95" s="85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51"/>
      <c r="AD95" s="48"/>
    </row>
    <row r="96" spans="1:30" ht="23.25" x14ac:dyDescent="0.35">
      <c r="A96" s="49"/>
      <c r="B96" s="86" t="s">
        <v>160</v>
      </c>
      <c r="C96" s="87"/>
      <c r="D96" s="49"/>
      <c r="E96" s="49"/>
      <c r="F96" s="49"/>
      <c r="G96" s="216" t="s">
        <v>161</v>
      </c>
      <c r="H96" s="216"/>
      <c r="I96" s="216"/>
      <c r="J96" s="49"/>
      <c r="K96" s="49"/>
      <c r="L96" s="49"/>
      <c r="M96" s="216" t="s">
        <v>162</v>
      </c>
      <c r="N96" s="216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51"/>
      <c r="AD96" s="48"/>
    </row>
  </sheetData>
  <autoFilter ref="A17:XFD89"/>
  <mergeCells count="39">
    <mergeCell ref="B1:E2"/>
    <mergeCell ref="AB1:AD1"/>
    <mergeCell ref="A11:AD11"/>
    <mergeCell ref="A12:AD12"/>
    <mergeCell ref="A14:A16"/>
    <mergeCell ref="B14:B16"/>
    <mergeCell ref="C14:C16"/>
    <mergeCell ref="D14:D16"/>
    <mergeCell ref="E14:E16"/>
    <mergeCell ref="F14:F16"/>
    <mergeCell ref="R14:R16"/>
    <mergeCell ref="G14:G16"/>
    <mergeCell ref="H14:H16"/>
    <mergeCell ref="I14:I16"/>
    <mergeCell ref="J14:J16"/>
    <mergeCell ref="K14:K16"/>
    <mergeCell ref="L14:L16"/>
    <mergeCell ref="M14:M16"/>
    <mergeCell ref="N14:N16"/>
    <mergeCell ref="O14:O16"/>
    <mergeCell ref="P14:P16"/>
    <mergeCell ref="Q14:Q16"/>
    <mergeCell ref="AD14:AD16"/>
    <mergeCell ref="S14:S16"/>
    <mergeCell ref="T14:T16"/>
    <mergeCell ref="U14:U16"/>
    <mergeCell ref="V14:V16"/>
    <mergeCell ref="W14:W16"/>
    <mergeCell ref="X14:X16"/>
    <mergeCell ref="Y14:Y16"/>
    <mergeCell ref="Z14:Z16"/>
    <mergeCell ref="AA14:AA16"/>
    <mergeCell ref="AB14:AB16"/>
    <mergeCell ref="AC14:AC16"/>
    <mergeCell ref="B95:F95"/>
    <mergeCell ref="G95:I95"/>
    <mergeCell ref="M95:N95"/>
    <mergeCell ref="G96:I96"/>
    <mergeCell ref="M96:N96"/>
  </mergeCells>
  <pageMargins left="0.7" right="0.7" top="0.75" bottom="0.75" header="0.3" footer="0.3"/>
  <pageSetup paperSize="9" scale="2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0"/>
  </sheetPr>
  <dimension ref="A1:AK88"/>
  <sheetViews>
    <sheetView view="pageBreakPreview" zoomScale="70" zoomScaleNormal="100" zoomScaleSheetLayoutView="70" workbookViewId="0">
      <selection activeCell="K22" sqref="K22"/>
    </sheetView>
  </sheetViews>
  <sheetFormatPr defaultColWidth="9.140625" defaultRowHeight="15" x14ac:dyDescent="0.25"/>
  <cols>
    <col min="1" max="1" width="4.140625" style="162" customWidth="1"/>
    <col min="2" max="2" width="29" style="162" customWidth="1"/>
    <col min="3" max="6" width="0" hidden="1" customWidth="1"/>
    <col min="7" max="7" width="13.5703125" style="162" customWidth="1"/>
    <col min="8" max="8" width="18.140625" style="162" customWidth="1"/>
    <col min="9" max="9" width="17" style="162" customWidth="1"/>
    <col min="10" max="10" width="17.85546875" style="162" customWidth="1"/>
    <col min="11" max="11" width="13.42578125" style="162" customWidth="1"/>
    <col min="12" max="12" width="13.7109375" style="162" customWidth="1"/>
    <col min="13" max="13" width="13.42578125" style="162" customWidth="1"/>
    <col min="14" max="14" width="14.42578125" style="162" customWidth="1"/>
    <col min="15" max="15" width="13" style="162" customWidth="1"/>
    <col min="16" max="16" width="14.85546875" style="162" customWidth="1"/>
    <col min="17" max="17" width="12.85546875" style="162" customWidth="1"/>
    <col min="18" max="18" width="12.7109375" style="162" customWidth="1"/>
    <col min="19" max="19" width="11.28515625" style="162" customWidth="1"/>
    <col min="20" max="20" width="14.85546875" style="162" customWidth="1"/>
    <col min="21" max="21" width="12.85546875" style="162" customWidth="1"/>
    <col min="22" max="22" width="16.42578125" style="162" customWidth="1"/>
    <col min="23" max="23" width="17.7109375" style="162" customWidth="1"/>
    <col min="24" max="24" width="15" style="162" customWidth="1"/>
    <col min="25" max="25" width="17.28515625" style="162" customWidth="1"/>
    <col min="26" max="26" width="12.42578125" style="162" customWidth="1"/>
    <col min="27" max="27" width="18" style="162" customWidth="1"/>
    <col min="28" max="28" width="17.7109375" style="162" customWidth="1"/>
    <col min="29" max="29" width="20.28515625" style="162" customWidth="1"/>
    <col min="30" max="30" width="20.5703125" style="162" customWidth="1"/>
    <col min="31" max="31" width="11.28515625" style="162" customWidth="1"/>
    <col min="32" max="32" width="19.85546875" style="162" customWidth="1"/>
    <col min="33" max="34" width="9.140625" style="162"/>
    <col min="35" max="35" width="21.7109375" style="162" customWidth="1"/>
    <col min="36" max="36" width="12" style="162" customWidth="1"/>
    <col min="37" max="37" width="10.85546875" style="162" customWidth="1"/>
    <col min="38" max="16384" width="9.140625" style="162"/>
  </cols>
  <sheetData>
    <row r="1" spans="1:37" ht="27.75" x14ac:dyDescent="0.4">
      <c r="A1" s="1"/>
      <c r="B1" s="3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56"/>
      <c r="Z1" s="256"/>
      <c r="AA1" s="1"/>
      <c r="AB1" s="30"/>
      <c r="AC1" s="161"/>
      <c r="AD1" s="161"/>
      <c r="AE1" s="161"/>
      <c r="AF1" s="161"/>
      <c r="AG1" s="161"/>
      <c r="AH1" s="161"/>
      <c r="AI1" s="161"/>
      <c r="AJ1" s="161"/>
      <c r="AK1" s="161"/>
    </row>
    <row r="2" spans="1:37" ht="26.25" x14ac:dyDescent="0.4">
      <c r="A2" s="1"/>
      <c r="B2" s="3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2"/>
      <c r="Z2" s="32"/>
      <c r="AA2" s="1"/>
      <c r="AB2" s="30"/>
      <c r="AC2" s="161"/>
      <c r="AD2" s="161"/>
      <c r="AE2" s="161"/>
      <c r="AF2" s="161"/>
      <c r="AG2" s="161"/>
      <c r="AH2" s="161"/>
      <c r="AI2" s="161"/>
      <c r="AJ2" s="161"/>
      <c r="AK2" s="161"/>
    </row>
    <row r="3" spans="1:37" ht="27.75" customHeight="1" x14ac:dyDescent="0.4">
      <c r="A3" s="257" t="s">
        <v>103</v>
      </c>
      <c r="B3" s="257"/>
      <c r="C3" s="257"/>
      <c r="D3" s="257"/>
      <c r="E3" s="257"/>
      <c r="F3" s="257"/>
      <c r="G3" s="257"/>
      <c r="H3" s="25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33" t="s">
        <v>0</v>
      </c>
      <c r="Y3" s="33"/>
      <c r="Z3" s="34"/>
      <c r="AA3" s="29"/>
      <c r="AB3" s="31"/>
      <c r="AC3" s="161"/>
      <c r="AD3" s="161"/>
      <c r="AE3" s="161"/>
      <c r="AF3" s="161"/>
      <c r="AG3" s="161"/>
      <c r="AH3" s="161"/>
      <c r="AI3" s="161"/>
      <c r="AJ3" s="161"/>
      <c r="AK3" s="161"/>
    </row>
    <row r="4" spans="1:37" ht="27.75" x14ac:dyDescent="0.4">
      <c r="A4" s="257"/>
      <c r="B4" s="257"/>
      <c r="C4" s="257"/>
      <c r="D4" s="257"/>
      <c r="E4" s="257"/>
      <c r="F4" s="257"/>
      <c r="G4" s="257"/>
      <c r="H4" s="25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33" t="s">
        <v>17</v>
      </c>
      <c r="Y4" s="33"/>
      <c r="Z4" s="33"/>
      <c r="AA4" s="29"/>
      <c r="AB4" s="31"/>
      <c r="AC4" s="161"/>
      <c r="AD4" s="161"/>
      <c r="AE4" s="161"/>
      <c r="AF4" s="161"/>
      <c r="AG4" s="161"/>
      <c r="AH4" s="161"/>
      <c r="AI4" s="161"/>
      <c r="AJ4" s="161"/>
      <c r="AK4" s="161"/>
    </row>
    <row r="5" spans="1:37" ht="27.75" x14ac:dyDescent="0.4">
      <c r="A5" s="257"/>
      <c r="B5" s="257"/>
      <c r="C5" s="257"/>
      <c r="D5" s="257"/>
      <c r="E5" s="257"/>
      <c r="F5" s="257"/>
      <c r="G5" s="257"/>
      <c r="H5" s="25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33" t="s">
        <v>113</v>
      </c>
      <c r="Y5" s="33"/>
      <c r="Z5" s="33"/>
      <c r="AA5" s="29"/>
      <c r="AB5" s="31"/>
      <c r="AC5" s="161"/>
      <c r="AD5" s="161"/>
      <c r="AE5" s="161"/>
      <c r="AF5" s="161"/>
      <c r="AG5" s="161"/>
      <c r="AH5" s="161"/>
      <c r="AI5" s="161"/>
      <c r="AJ5" s="161"/>
      <c r="AK5" s="161"/>
    </row>
    <row r="6" spans="1:37" ht="27.75" x14ac:dyDescent="0.4">
      <c r="A6" s="257"/>
      <c r="B6" s="257"/>
      <c r="C6" s="257"/>
      <c r="D6" s="257"/>
      <c r="E6" s="257"/>
      <c r="F6" s="257"/>
      <c r="G6" s="257"/>
      <c r="H6" s="25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3" t="s">
        <v>114</v>
      </c>
      <c r="Y6" s="33"/>
      <c r="Z6" s="33"/>
      <c r="AA6" s="29"/>
      <c r="AB6" s="31"/>
      <c r="AC6" s="161"/>
      <c r="AD6" s="163"/>
      <c r="AE6" s="163"/>
      <c r="AF6" s="163"/>
      <c r="AG6" s="163"/>
      <c r="AH6" s="163"/>
      <c r="AI6" s="163"/>
      <c r="AJ6" s="163"/>
      <c r="AK6" s="163"/>
    </row>
    <row r="7" spans="1:37" x14ac:dyDescent="0.25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61"/>
      <c r="AD7" s="163"/>
      <c r="AE7" s="163"/>
      <c r="AF7" s="163"/>
      <c r="AG7" s="163"/>
      <c r="AH7" s="163"/>
      <c r="AI7" s="163"/>
      <c r="AJ7" s="163"/>
      <c r="AK7" s="163"/>
    </row>
    <row r="8" spans="1:37" ht="27" x14ac:dyDescent="0.35">
      <c r="A8" s="255" t="s">
        <v>1</v>
      </c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161"/>
      <c r="AD8" s="245"/>
      <c r="AE8" s="245"/>
      <c r="AF8" s="245"/>
      <c r="AG8" s="163"/>
      <c r="AH8" s="163"/>
      <c r="AI8" s="245"/>
      <c r="AJ8" s="245"/>
      <c r="AK8" s="245"/>
    </row>
    <row r="9" spans="1:37" ht="27" x14ac:dyDescent="0.35">
      <c r="A9" s="255" t="s">
        <v>115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161"/>
      <c r="AD9" s="163"/>
      <c r="AE9" s="163"/>
      <c r="AF9" s="163"/>
      <c r="AG9" s="163"/>
      <c r="AH9" s="163"/>
      <c r="AI9" s="163"/>
      <c r="AJ9" s="163"/>
      <c r="AK9" s="163"/>
    </row>
    <row r="10" spans="1:37" x14ac:dyDescent="0.25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61"/>
      <c r="AD10" s="246"/>
      <c r="AE10" s="246"/>
      <c r="AF10" s="163"/>
      <c r="AG10" s="163"/>
      <c r="AH10" s="163"/>
      <c r="AI10" s="246"/>
      <c r="AJ10" s="246"/>
      <c r="AK10" s="163"/>
    </row>
    <row r="11" spans="1:37" ht="15" customHeight="1" x14ac:dyDescent="0.25">
      <c r="A11" s="200" t="s">
        <v>2</v>
      </c>
      <c r="B11" s="236" t="s">
        <v>3</v>
      </c>
      <c r="C11" s="200" t="s">
        <v>9</v>
      </c>
      <c r="D11" s="200" t="s">
        <v>10</v>
      </c>
      <c r="E11" s="200" t="s">
        <v>11</v>
      </c>
      <c r="F11" s="200" t="s">
        <v>12</v>
      </c>
      <c r="G11" s="183" t="s">
        <v>13</v>
      </c>
      <c r="H11" s="183" t="s">
        <v>23</v>
      </c>
      <c r="I11" s="183" t="s">
        <v>25</v>
      </c>
      <c r="J11" s="183" t="s">
        <v>24</v>
      </c>
      <c r="K11" s="183" t="s">
        <v>19</v>
      </c>
      <c r="L11" s="203" t="s">
        <v>4</v>
      </c>
      <c r="M11" s="200" t="s">
        <v>7</v>
      </c>
      <c r="N11" s="200" t="s">
        <v>6</v>
      </c>
      <c r="O11" s="203" t="s">
        <v>102</v>
      </c>
      <c r="P11" s="183" t="s">
        <v>98</v>
      </c>
      <c r="Q11" s="200" t="s">
        <v>14</v>
      </c>
      <c r="R11" s="200" t="s">
        <v>16</v>
      </c>
      <c r="S11" s="203" t="s">
        <v>22</v>
      </c>
      <c r="T11" s="183" t="s">
        <v>21</v>
      </c>
      <c r="U11" s="183" t="s">
        <v>18</v>
      </c>
      <c r="V11" s="183" t="s">
        <v>101</v>
      </c>
      <c r="W11" s="183" t="s">
        <v>99</v>
      </c>
      <c r="X11" s="183" t="s">
        <v>100</v>
      </c>
      <c r="Y11" s="183" t="s">
        <v>26</v>
      </c>
      <c r="Z11" s="183" t="s">
        <v>8</v>
      </c>
      <c r="AA11" s="183" t="s">
        <v>5</v>
      </c>
      <c r="AB11" s="258" t="s">
        <v>245</v>
      </c>
      <c r="AC11" s="161"/>
      <c r="AD11" s="246"/>
      <c r="AE11" s="246"/>
      <c r="AF11" s="163"/>
      <c r="AG11" s="163"/>
      <c r="AH11" s="163"/>
      <c r="AI11" s="246"/>
      <c r="AJ11" s="246"/>
      <c r="AK11" s="163"/>
    </row>
    <row r="12" spans="1:37" ht="76.5" customHeight="1" x14ac:dyDescent="0.25">
      <c r="A12" s="201"/>
      <c r="B12" s="247"/>
      <c r="C12" s="249"/>
      <c r="D12" s="249"/>
      <c r="E12" s="249"/>
      <c r="F12" s="249"/>
      <c r="G12" s="251"/>
      <c r="H12" s="184"/>
      <c r="I12" s="184"/>
      <c r="J12" s="184"/>
      <c r="K12" s="184"/>
      <c r="L12" s="204"/>
      <c r="M12" s="201"/>
      <c r="N12" s="201"/>
      <c r="O12" s="204"/>
      <c r="P12" s="184"/>
      <c r="Q12" s="201"/>
      <c r="R12" s="201" t="s">
        <v>15</v>
      </c>
      <c r="S12" s="204"/>
      <c r="T12" s="184"/>
      <c r="U12" s="184"/>
      <c r="V12" s="184"/>
      <c r="W12" s="184"/>
      <c r="X12" s="184"/>
      <c r="Y12" s="184"/>
      <c r="Z12" s="184"/>
      <c r="AA12" s="184"/>
      <c r="AB12" s="258"/>
      <c r="AC12" s="161"/>
      <c r="AD12" s="246"/>
      <c r="AE12" s="246"/>
      <c r="AF12" s="163"/>
      <c r="AG12" s="163"/>
      <c r="AH12" s="163"/>
      <c r="AI12" s="246"/>
      <c r="AJ12" s="246"/>
      <c r="AK12" s="163"/>
    </row>
    <row r="13" spans="1:37" ht="87.75" customHeight="1" x14ac:dyDescent="0.25">
      <c r="A13" s="202"/>
      <c r="B13" s="248"/>
      <c r="C13" s="250"/>
      <c r="D13" s="250"/>
      <c r="E13" s="250"/>
      <c r="F13" s="250"/>
      <c r="G13" s="252"/>
      <c r="H13" s="185"/>
      <c r="I13" s="185"/>
      <c r="J13" s="185"/>
      <c r="K13" s="185"/>
      <c r="L13" s="205"/>
      <c r="M13" s="202"/>
      <c r="N13" s="202"/>
      <c r="O13" s="205"/>
      <c r="P13" s="185"/>
      <c r="Q13" s="202"/>
      <c r="R13" s="202"/>
      <c r="S13" s="205"/>
      <c r="T13" s="185"/>
      <c r="U13" s="185"/>
      <c r="V13" s="185"/>
      <c r="W13" s="185"/>
      <c r="X13" s="185"/>
      <c r="Y13" s="185"/>
      <c r="Z13" s="185"/>
      <c r="AA13" s="185"/>
      <c r="AB13" s="258"/>
      <c r="AC13" s="161"/>
      <c r="AD13" s="246"/>
      <c r="AE13" s="246"/>
      <c r="AF13" s="163"/>
      <c r="AG13" s="163"/>
      <c r="AH13" s="163"/>
      <c r="AI13" s="246"/>
      <c r="AJ13" s="246"/>
      <c r="AK13" s="163"/>
    </row>
    <row r="14" spans="1:37" x14ac:dyDescent="0.25">
      <c r="A14" s="20">
        <v>1</v>
      </c>
      <c r="B14" s="20">
        <v>2</v>
      </c>
      <c r="C14" s="21">
        <v>3</v>
      </c>
      <c r="D14" s="20">
        <v>4</v>
      </c>
      <c r="E14" s="20">
        <v>5</v>
      </c>
      <c r="F14" s="20">
        <v>6</v>
      </c>
      <c r="G14" s="20">
        <v>3</v>
      </c>
      <c r="H14" s="20">
        <v>4</v>
      </c>
      <c r="I14" s="20">
        <v>5</v>
      </c>
      <c r="J14" s="20">
        <v>6</v>
      </c>
      <c r="K14" s="20">
        <v>7</v>
      </c>
      <c r="L14" s="20">
        <v>8</v>
      </c>
      <c r="M14" s="20">
        <v>9</v>
      </c>
      <c r="N14" s="20">
        <v>10</v>
      </c>
      <c r="O14" s="20">
        <v>11</v>
      </c>
      <c r="P14" s="20">
        <v>12</v>
      </c>
      <c r="Q14" s="20">
        <v>13</v>
      </c>
      <c r="R14" s="20">
        <v>14</v>
      </c>
      <c r="S14" s="20">
        <v>15</v>
      </c>
      <c r="T14" s="20">
        <v>16</v>
      </c>
      <c r="U14" s="20">
        <v>17</v>
      </c>
      <c r="V14" s="20">
        <v>18</v>
      </c>
      <c r="W14" s="20">
        <v>19</v>
      </c>
      <c r="X14" s="20">
        <v>20</v>
      </c>
      <c r="Y14" s="20">
        <v>21</v>
      </c>
      <c r="Z14" s="20">
        <v>22</v>
      </c>
      <c r="AA14" s="20">
        <v>23</v>
      </c>
      <c r="AB14" s="20">
        <v>24</v>
      </c>
      <c r="AC14" s="164"/>
      <c r="AD14" s="165"/>
      <c r="AE14" s="165"/>
      <c r="AF14" s="165"/>
      <c r="AG14" s="165"/>
      <c r="AH14" s="165"/>
      <c r="AI14" s="165"/>
      <c r="AJ14" s="165"/>
      <c r="AK14" s="165"/>
    </row>
    <row r="15" spans="1:37" ht="51" x14ac:dyDescent="0.25">
      <c r="A15" s="171">
        <v>1</v>
      </c>
      <c r="B15" s="172" t="s">
        <v>246</v>
      </c>
      <c r="C15" s="4"/>
      <c r="D15" s="4"/>
      <c r="E15" s="4"/>
      <c r="F15" s="4"/>
      <c r="G15" s="5">
        <v>360</v>
      </c>
      <c r="H15" s="6">
        <v>0</v>
      </c>
      <c r="I15" s="6">
        <v>0</v>
      </c>
      <c r="J15" s="6">
        <v>0</v>
      </c>
      <c r="K15" s="6">
        <v>0</v>
      </c>
      <c r="L15" s="8">
        <v>41879.15</v>
      </c>
      <c r="M15" s="4">
        <v>11183.6</v>
      </c>
      <c r="N15" s="8">
        <v>10231.85</v>
      </c>
      <c r="O15" s="8">
        <f>(M15-N15)*100/N15</f>
        <v>9.3018369112135151</v>
      </c>
      <c r="P15" s="4">
        <f>IF(O15&lt;=25,10,0)</f>
        <v>10</v>
      </c>
      <c r="Q15" s="4">
        <v>430.73</v>
      </c>
      <c r="R15" s="4">
        <v>204.77</v>
      </c>
      <c r="S15" s="7">
        <f>(R15-Q15)/Q15*100</f>
        <v>-52.459777586887377</v>
      </c>
      <c r="T15" s="5">
        <f>IF(S15&lt;=3,5,0)</f>
        <v>5</v>
      </c>
      <c r="U15" s="5">
        <v>0</v>
      </c>
      <c r="V15" s="5">
        <v>5</v>
      </c>
      <c r="W15" s="5">
        <v>0</v>
      </c>
      <c r="X15" s="5">
        <v>5</v>
      </c>
      <c r="Y15" s="5">
        <v>10</v>
      </c>
      <c r="Z15" s="5">
        <f>G15/4-(H15+I15+J15+K15)+P15+T15-U15+V15-W15+X15+Y15</f>
        <v>125</v>
      </c>
      <c r="AA15" s="9">
        <f>ROUND(Z15/71,2)</f>
        <v>1.76</v>
      </c>
      <c r="AB15" s="176" t="s">
        <v>106</v>
      </c>
      <c r="AC15" s="161"/>
      <c r="AD15" s="163"/>
      <c r="AE15" s="163"/>
      <c r="AF15" s="163"/>
      <c r="AG15" s="163"/>
      <c r="AH15" s="163"/>
      <c r="AI15" s="163"/>
      <c r="AJ15" s="163"/>
      <c r="AK15" s="163"/>
    </row>
    <row r="16" spans="1:37" ht="38.25" x14ac:dyDescent="0.3">
      <c r="A16" s="171">
        <v>2</v>
      </c>
      <c r="B16" s="172" t="s">
        <v>247</v>
      </c>
      <c r="C16" s="4"/>
      <c r="D16" s="4"/>
      <c r="E16" s="4"/>
      <c r="F16" s="4"/>
      <c r="G16" s="5">
        <v>315</v>
      </c>
      <c r="H16" s="6">
        <v>0</v>
      </c>
      <c r="I16" s="6">
        <v>0</v>
      </c>
      <c r="J16" s="6">
        <v>0</v>
      </c>
      <c r="K16" s="6">
        <v>0</v>
      </c>
      <c r="L16" s="8">
        <v>22436.17</v>
      </c>
      <c r="M16" s="4">
        <v>6912.98</v>
      </c>
      <c r="N16" s="8">
        <v>5174.3900000000003</v>
      </c>
      <c r="O16" s="8">
        <f t="shared" ref="O16:O79" si="0">(M16-N16)*100/N16</f>
        <v>33.599902597214339</v>
      </c>
      <c r="P16" s="4">
        <f t="shared" ref="P16:P79" si="1">IF(O16&lt;=25,10,0)</f>
        <v>0</v>
      </c>
      <c r="Q16" s="4">
        <v>628.84</v>
      </c>
      <c r="R16" s="4">
        <v>614.91999999999996</v>
      </c>
      <c r="S16" s="7">
        <f t="shared" ref="S16:S79" si="2">(R16-Q16)/Q16*100</f>
        <v>-2.2135996437885748</v>
      </c>
      <c r="T16" s="5">
        <f t="shared" ref="T16:T79" si="3">IF(S16&lt;=3,5,0)</f>
        <v>5</v>
      </c>
      <c r="U16" s="5">
        <v>0</v>
      </c>
      <c r="V16" s="5">
        <v>5</v>
      </c>
      <c r="W16" s="5">
        <v>0</v>
      </c>
      <c r="X16" s="5">
        <v>5</v>
      </c>
      <c r="Y16" s="5">
        <v>10</v>
      </c>
      <c r="Z16" s="5">
        <f t="shared" ref="Z16:Z79" si="4">G16/4-(H16+I16+J16+K16)+P16+T16-U16+V16-W16+X16+Y16</f>
        <v>103.75</v>
      </c>
      <c r="AA16" s="9">
        <f t="shared" ref="AA16:AA79" si="5">ROUND(Z16/71,2)</f>
        <v>1.46</v>
      </c>
      <c r="AB16" s="176" t="s">
        <v>108</v>
      </c>
      <c r="AC16" s="161"/>
      <c r="AD16" s="166"/>
      <c r="AE16" s="167"/>
      <c r="AF16" s="167"/>
      <c r="AG16" s="163"/>
      <c r="AH16" s="163"/>
      <c r="AI16" s="166"/>
      <c r="AJ16" s="167"/>
      <c r="AK16" s="167"/>
    </row>
    <row r="17" spans="1:37" ht="63.75" x14ac:dyDescent="0.3">
      <c r="A17" s="171">
        <v>3</v>
      </c>
      <c r="B17" s="172" t="s">
        <v>248</v>
      </c>
      <c r="C17" s="4"/>
      <c r="D17" s="4"/>
      <c r="E17" s="4"/>
      <c r="F17" s="4"/>
      <c r="G17" s="5">
        <v>335</v>
      </c>
      <c r="H17" s="6">
        <v>0</v>
      </c>
      <c r="I17" s="6">
        <v>0</v>
      </c>
      <c r="J17" s="6">
        <v>0</v>
      </c>
      <c r="K17" s="6">
        <v>0</v>
      </c>
      <c r="L17" s="8">
        <v>48807.31</v>
      </c>
      <c r="M17" s="4">
        <v>14224.46</v>
      </c>
      <c r="N17" s="8">
        <v>11527.62</v>
      </c>
      <c r="O17" s="8">
        <f t="shared" si="0"/>
        <v>23.394594894696372</v>
      </c>
      <c r="P17" s="4">
        <f t="shared" si="1"/>
        <v>10</v>
      </c>
      <c r="Q17" s="4">
        <v>152.30000000000001</v>
      </c>
      <c r="R17" s="4">
        <v>148.94999999999999</v>
      </c>
      <c r="S17" s="7">
        <f t="shared" si="2"/>
        <v>-2.1996060407091416</v>
      </c>
      <c r="T17" s="5">
        <f t="shared" si="3"/>
        <v>5</v>
      </c>
      <c r="U17" s="5">
        <v>0</v>
      </c>
      <c r="V17" s="5">
        <v>5</v>
      </c>
      <c r="W17" s="5">
        <v>10</v>
      </c>
      <c r="X17" s="5">
        <v>5</v>
      </c>
      <c r="Y17" s="5">
        <v>10</v>
      </c>
      <c r="Z17" s="5">
        <f>G17/4-(H17+I17+J17+K17)+P17+T17-U17+V17-W17+X17+Y17</f>
        <v>108.75</v>
      </c>
      <c r="AA17" s="9">
        <f t="shared" si="5"/>
        <v>1.53</v>
      </c>
      <c r="AB17" s="176" t="s">
        <v>108</v>
      </c>
      <c r="AC17" s="161"/>
      <c r="AD17" s="166"/>
      <c r="AE17" s="167"/>
      <c r="AF17" s="167"/>
      <c r="AG17" s="163"/>
      <c r="AH17" s="163"/>
      <c r="AI17" s="166"/>
      <c r="AJ17" s="167"/>
      <c r="AK17" s="167"/>
    </row>
    <row r="18" spans="1:37" ht="38.25" x14ac:dyDescent="0.3">
      <c r="A18" s="171">
        <v>4</v>
      </c>
      <c r="B18" s="172" t="s">
        <v>249</v>
      </c>
      <c r="C18" s="4"/>
      <c r="D18" s="4"/>
      <c r="E18" s="4"/>
      <c r="F18" s="4"/>
      <c r="G18" s="5">
        <v>375</v>
      </c>
      <c r="H18" s="6">
        <v>0</v>
      </c>
      <c r="I18" s="6">
        <v>0</v>
      </c>
      <c r="J18" s="6">
        <v>10</v>
      </c>
      <c r="K18" s="6">
        <v>0</v>
      </c>
      <c r="L18" s="8">
        <v>18272.48</v>
      </c>
      <c r="M18" s="4">
        <v>6256.86</v>
      </c>
      <c r="N18" s="8">
        <v>4005.21</v>
      </c>
      <c r="O18" s="8">
        <f t="shared" si="0"/>
        <v>56.218026021107498</v>
      </c>
      <c r="P18" s="4">
        <f t="shared" si="1"/>
        <v>0</v>
      </c>
      <c r="Q18" s="4">
        <v>12.26</v>
      </c>
      <c r="R18" s="4">
        <v>274.32</v>
      </c>
      <c r="S18" s="7">
        <f t="shared" si="2"/>
        <v>2137.5203915171292</v>
      </c>
      <c r="T18" s="5">
        <f t="shared" si="3"/>
        <v>0</v>
      </c>
      <c r="U18" s="5">
        <v>0</v>
      </c>
      <c r="V18" s="5">
        <v>5</v>
      </c>
      <c r="W18" s="5">
        <v>10</v>
      </c>
      <c r="X18" s="5">
        <v>5</v>
      </c>
      <c r="Y18" s="5">
        <v>10</v>
      </c>
      <c r="Z18" s="5">
        <f t="shared" si="4"/>
        <v>93.75</v>
      </c>
      <c r="AA18" s="9">
        <f t="shared" si="5"/>
        <v>1.32</v>
      </c>
      <c r="AB18" s="177" t="s">
        <v>108</v>
      </c>
      <c r="AC18" s="161"/>
      <c r="AD18" s="167"/>
      <c r="AE18" s="167"/>
      <c r="AF18" s="167"/>
      <c r="AG18" s="163"/>
      <c r="AH18" s="163"/>
      <c r="AI18" s="167"/>
      <c r="AJ18" s="167"/>
      <c r="AK18" s="167"/>
    </row>
    <row r="19" spans="1:37" ht="38.25" x14ac:dyDescent="0.3">
      <c r="A19" s="171">
        <v>5</v>
      </c>
      <c r="B19" s="172" t="s">
        <v>250</v>
      </c>
      <c r="C19" s="4"/>
      <c r="D19" s="4"/>
      <c r="E19" s="4"/>
      <c r="F19" s="4"/>
      <c r="G19" s="5">
        <v>345</v>
      </c>
      <c r="H19" s="6">
        <v>0</v>
      </c>
      <c r="I19" s="6">
        <v>0</v>
      </c>
      <c r="J19" s="6">
        <v>0</v>
      </c>
      <c r="K19" s="6">
        <v>0</v>
      </c>
      <c r="L19" s="8">
        <v>17219.43</v>
      </c>
      <c r="M19" s="4">
        <v>4883.88</v>
      </c>
      <c r="N19" s="8">
        <v>4111.8500000000004</v>
      </c>
      <c r="O19" s="8">
        <f t="shared" si="0"/>
        <v>18.775733550591575</v>
      </c>
      <c r="P19" s="4">
        <f t="shared" si="1"/>
        <v>10</v>
      </c>
      <c r="Q19" s="4">
        <v>8.89</v>
      </c>
      <c r="R19" s="4">
        <v>7.43</v>
      </c>
      <c r="S19" s="7">
        <f t="shared" si="2"/>
        <v>-16.422947131608556</v>
      </c>
      <c r="T19" s="5">
        <f t="shared" si="3"/>
        <v>5</v>
      </c>
      <c r="U19" s="5">
        <v>0</v>
      </c>
      <c r="V19" s="5">
        <v>5</v>
      </c>
      <c r="W19" s="5">
        <v>0</v>
      </c>
      <c r="X19" s="5">
        <v>5</v>
      </c>
      <c r="Y19" s="5">
        <v>10</v>
      </c>
      <c r="Z19" s="5">
        <f t="shared" si="4"/>
        <v>121.25</v>
      </c>
      <c r="AA19" s="9">
        <f t="shared" si="5"/>
        <v>1.71</v>
      </c>
      <c r="AB19" s="176" t="s">
        <v>106</v>
      </c>
      <c r="AC19" s="161"/>
      <c r="AD19" s="167"/>
      <c r="AE19" s="168"/>
      <c r="AF19" s="167"/>
      <c r="AG19" s="163"/>
      <c r="AH19" s="163"/>
      <c r="AI19" s="167"/>
      <c r="AJ19" s="168"/>
      <c r="AK19" s="167"/>
    </row>
    <row r="20" spans="1:37" ht="38.25" x14ac:dyDescent="0.3">
      <c r="A20" s="171">
        <v>6</v>
      </c>
      <c r="B20" s="172" t="s">
        <v>251</v>
      </c>
      <c r="C20" s="4"/>
      <c r="D20" s="4"/>
      <c r="E20" s="4"/>
      <c r="F20" s="4"/>
      <c r="G20" s="5">
        <v>350</v>
      </c>
      <c r="H20" s="6">
        <v>0</v>
      </c>
      <c r="I20" s="6">
        <v>0</v>
      </c>
      <c r="J20" s="6">
        <v>0</v>
      </c>
      <c r="K20" s="6">
        <v>0</v>
      </c>
      <c r="L20" s="8">
        <v>18244.64</v>
      </c>
      <c r="M20" s="4">
        <v>6220.99</v>
      </c>
      <c r="N20" s="8">
        <v>4007.88</v>
      </c>
      <c r="O20" s="8">
        <f t="shared" si="0"/>
        <v>55.218968631795356</v>
      </c>
      <c r="P20" s="4">
        <f t="shared" si="1"/>
        <v>0</v>
      </c>
      <c r="Q20" s="4">
        <v>93.3</v>
      </c>
      <c r="R20" s="4">
        <v>96.83</v>
      </c>
      <c r="S20" s="7">
        <f t="shared" si="2"/>
        <v>3.7834941050375144</v>
      </c>
      <c r="T20" s="5">
        <f t="shared" si="3"/>
        <v>0</v>
      </c>
      <c r="U20" s="5">
        <v>0</v>
      </c>
      <c r="V20" s="5">
        <v>5</v>
      </c>
      <c r="W20" s="5">
        <v>0</v>
      </c>
      <c r="X20" s="5">
        <v>5</v>
      </c>
      <c r="Y20" s="5">
        <v>10</v>
      </c>
      <c r="Z20" s="5">
        <f t="shared" si="4"/>
        <v>107.5</v>
      </c>
      <c r="AA20" s="9">
        <f t="shared" si="5"/>
        <v>1.51</v>
      </c>
      <c r="AB20" s="176" t="s">
        <v>108</v>
      </c>
      <c r="AC20" s="161"/>
      <c r="AD20" s="167"/>
      <c r="AE20" s="167"/>
      <c r="AF20" s="167"/>
      <c r="AG20" s="163"/>
      <c r="AH20" s="163"/>
      <c r="AI20" s="167"/>
      <c r="AJ20" s="167"/>
      <c r="AK20" s="167"/>
    </row>
    <row r="21" spans="1:37" ht="38.25" x14ac:dyDescent="0.3">
      <c r="A21" s="171">
        <v>7</v>
      </c>
      <c r="B21" s="172" t="s">
        <v>252</v>
      </c>
      <c r="C21" s="4"/>
      <c r="D21" s="4"/>
      <c r="E21" s="4"/>
      <c r="F21" s="4"/>
      <c r="G21" s="5">
        <v>355</v>
      </c>
      <c r="H21" s="6">
        <v>0</v>
      </c>
      <c r="I21" s="6">
        <v>0</v>
      </c>
      <c r="J21" s="6">
        <v>0</v>
      </c>
      <c r="K21" s="6">
        <v>0</v>
      </c>
      <c r="L21" s="8">
        <v>19762.080000000002</v>
      </c>
      <c r="M21" s="4">
        <v>6149.77</v>
      </c>
      <c r="N21" s="8">
        <v>4537.4399999999996</v>
      </c>
      <c r="O21" s="8">
        <f t="shared" si="0"/>
        <v>35.533913396100026</v>
      </c>
      <c r="P21" s="4">
        <f t="shared" si="1"/>
        <v>0</v>
      </c>
      <c r="Q21" s="4">
        <v>636.15</v>
      </c>
      <c r="R21" s="4">
        <v>636</v>
      </c>
      <c r="S21" s="7">
        <f t="shared" si="2"/>
        <v>-2.3579344494219487E-2</v>
      </c>
      <c r="T21" s="5">
        <f t="shared" si="3"/>
        <v>5</v>
      </c>
      <c r="U21" s="5">
        <v>0</v>
      </c>
      <c r="V21" s="5">
        <v>5</v>
      </c>
      <c r="W21" s="5">
        <v>0</v>
      </c>
      <c r="X21" s="5">
        <v>5</v>
      </c>
      <c r="Y21" s="5">
        <v>10</v>
      </c>
      <c r="Z21" s="5">
        <f t="shared" si="4"/>
        <v>113.75</v>
      </c>
      <c r="AA21" s="9">
        <f t="shared" si="5"/>
        <v>1.6</v>
      </c>
      <c r="AB21" s="176" t="s">
        <v>106</v>
      </c>
      <c r="AC21" s="161"/>
      <c r="AD21" s="167"/>
      <c r="AE21" s="169"/>
      <c r="AF21" s="43"/>
      <c r="AG21" s="163"/>
      <c r="AH21" s="163"/>
      <c r="AI21" s="167"/>
      <c r="AJ21" s="169"/>
      <c r="AK21" s="43"/>
    </row>
    <row r="22" spans="1:37" ht="51" x14ac:dyDescent="0.3">
      <c r="A22" s="171">
        <v>8</v>
      </c>
      <c r="B22" s="172" t="s">
        <v>253</v>
      </c>
      <c r="C22" s="4"/>
      <c r="D22" s="4"/>
      <c r="E22" s="4"/>
      <c r="F22" s="4"/>
      <c r="G22" s="5">
        <v>330</v>
      </c>
      <c r="H22" s="6">
        <v>0</v>
      </c>
      <c r="I22" s="6">
        <v>0</v>
      </c>
      <c r="J22" s="6">
        <v>0</v>
      </c>
      <c r="K22" s="6">
        <v>0</v>
      </c>
      <c r="L22" s="8">
        <v>34535.19</v>
      </c>
      <c r="M22" s="4">
        <v>10917.07</v>
      </c>
      <c r="N22" s="8">
        <v>7872.71</v>
      </c>
      <c r="O22" s="8">
        <f t="shared" si="0"/>
        <v>38.669784610381932</v>
      </c>
      <c r="P22" s="4">
        <f t="shared" si="1"/>
        <v>0</v>
      </c>
      <c r="Q22" s="4">
        <v>353.81</v>
      </c>
      <c r="R22" s="4">
        <v>311.66000000000003</v>
      </c>
      <c r="S22" s="7">
        <f t="shared" si="2"/>
        <v>-11.913173737316631</v>
      </c>
      <c r="T22" s="5">
        <f t="shared" si="3"/>
        <v>5</v>
      </c>
      <c r="U22" s="5">
        <v>0</v>
      </c>
      <c r="V22" s="5">
        <v>5</v>
      </c>
      <c r="W22" s="5">
        <v>0</v>
      </c>
      <c r="X22" s="5">
        <v>5</v>
      </c>
      <c r="Y22" s="5">
        <v>10</v>
      </c>
      <c r="Z22" s="5">
        <f t="shared" si="4"/>
        <v>107.5</v>
      </c>
      <c r="AA22" s="9">
        <f t="shared" si="5"/>
        <v>1.51</v>
      </c>
      <c r="AB22" s="176" t="s">
        <v>108</v>
      </c>
      <c r="AC22" s="161"/>
      <c r="AD22" s="167"/>
      <c r="AE22" s="169"/>
      <c r="AF22" s="43"/>
      <c r="AG22" s="163"/>
      <c r="AH22" s="163"/>
      <c r="AI22" s="167"/>
      <c r="AJ22" s="169"/>
      <c r="AK22" s="43"/>
    </row>
    <row r="23" spans="1:37" ht="38.25" x14ac:dyDescent="0.3">
      <c r="A23" s="171">
        <v>9</v>
      </c>
      <c r="B23" s="172" t="s">
        <v>254</v>
      </c>
      <c r="C23" s="4"/>
      <c r="D23" s="4"/>
      <c r="E23" s="4"/>
      <c r="F23" s="4"/>
      <c r="G23" s="5">
        <v>305</v>
      </c>
      <c r="H23" s="6">
        <v>0</v>
      </c>
      <c r="I23" s="6">
        <v>0</v>
      </c>
      <c r="J23" s="6">
        <v>0</v>
      </c>
      <c r="K23" s="6">
        <v>0</v>
      </c>
      <c r="L23" s="8">
        <v>27054.67</v>
      </c>
      <c r="M23" s="4">
        <v>9487.32</v>
      </c>
      <c r="N23" s="8">
        <v>5855.78</v>
      </c>
      <c r="O23" s="8">
        <f t="shared" si="0"/>
        <v>62.016332580800508</v>
      </c>
      <c r="P23" s="4">
        <f t="shared" si="1"/>
        <v>0</v>
      </c>
      <c r="Q23" s="4">
        <v>958.37</v>
      </c>
      <c r="R23" s="4">
        <v>1160.32</v>
      </c>
      <c r="S23" s="7">
        <f t="shared" si="2"/>
        <v>21.072237236140523</v>
      </c>
      <c r="T23" s="5">
        <f t="shared" si="3"/>
        <v>0</v>
      </c>
      <c r="U23" s="5">
        <v>5</v>
      </c>
      <c r="V23" s="5">
        <v>5</v>
      </c>
      <c r="W23" s="5">
        <v>10</v>
      </c>
      <c r="X23" s="5">
        <v>5</v>
      </c>
      <c r="Y23" s="5">
        <v>10</v>
      </c>
      <c r="Z23" s="5">
        <f t="shared" si="4"/>
        <v>81.25</v>
      </c>
      <c r="AA23" s="9">
        <f t="shared" si="5"/>
        <v>1.1399999999999999</v>
      </c>
      <c r="AB23" s="177" t="s">
        <v>107</v>
      </c>
      <c r="AC23" s="161"/>
      <c r="AD23" s="167"/>
      <c r="AE23" s="169"/>
      <c r="AF23" s="43"/>
      <c r="AG23" s="163"/>
      <c r="AH23" s="163"/>
      <c r="AI23" s="167"/>
      <c r="AJ23" s="169"/>
      <c r="AK23" s="43"/>
    </row>
    <row r="24" spans="1:37" ht="38.25" x14ac:dyDescent="0.3">
      <c r="A24" s="171">
        <v>10</v>
      </c>
      <c r="B24" s="172" t="s">
        <v>255</v>
      </c>
      <c r="C24" s="4"/>
      <c r="D24" s="4"/>
      <c r="E24" s="4"/>
      <c r="F24" s="4"/>
      <c r="G24" s="5">
        <v>325</v>
      </c>
      <c r="H24" s="6">
        <v>0</v>
      </c>
      <c r="I24" s="6">
        <v>0</v>
      </c>
      <c r="J24" s="6">
        <v>0</v>
      </c>
      <c r="K24" s="6">
        <v>0</v>
      </c>
      <c r="L24" s="8">
        <v>26467.29</v>
      </c>
      <c r="M24" s="4">
        <v>7664.74</v>
      </c>
      <c r="N24" s="8">
        <v>6267.52</v>
      </c>
      <c r="O24" s="8">
        <f t="shared" si="0"/>
        <v>22.293028183396292</v>
      </c>
      <c r="P24" s="4">
        <f t="shared" si="1"/>
        <v>10</v>
      </c>
      <c r="Q24" s="4">
        <v>10.3</v>
      </c>
      <c r="R24" s="4">
        <v>10.23</v>
      </c>
      <c r="S24" s="7">
        <f t="shared" si="2"/>
        <v>-0.67961165048543959</v>
      </c>
      <c r="T24" s="5">
        <f t="shared" si="3"/>
        <v>5</v>
      </c>
      <c r="U24" s="5">
        <v>0</v>
      </c>
      <c r="V24" s="5">
        <v>5</v>
      </c>
      <c r="W24" s="5">
        <v>0</v>
      </c>
      <c r="X24" s="5">
        <v>5</v>
      </c>
      <c r="Y24" s="5">
        <v>10</v>
      </c>
      <c r="Z24" s="5">
        <f t="shared" si="4"/>
        <v>116.25</v>
      </c>
      <c r="AA24" s="9">
        <f t="shared" si="5"/>
        <v>1.64</v>
      </c>
      <c r="AB24" s="176" t="s">
        <v>106</v>
      </c>
      <c r="AC24" s="161"/>
      <c r="AD24" s="170"/>
      <c r="AE24" s="167"/>
      <c r="AF24" s="43"/>
      <c r="AG24" s="163"/>
      <c r="AH24" s="163"/>
      <c r="AI24" s="170"/>
      <c r="AJ24" s="168"/>
      <c r="AK24" s="43"/>
    </row>
    <row r="25" spans="1:37" ht="38.25" x14ac:dyDescent="0.25">
      <c r="A25" s="171">
        <v>11</v>
      </c>
      <c r="B25" s="172" t="s">
        <v>256</v>
      </c>
      <c r="C25" s="4"/>
      <c r="D25" s="4"/>
      <c r="E25" s="4"/>
      <c r="F25" s="4"/>
      <c r="G25" s="5">
        <v>365</v>
      </c>
      <c r="H25" s="6">
        <v>0</v>
      </c>
      <c r="I25" s="6">
        <v>0</v>
      </c>
      <c r="J25" s="6">
        <v>10</v>
      </c>
      <c r="K25" s="6">
        <v>0</v>
      </c>
      <c r="L25" s="8">
        <v>83065.88</v>
      </c>
      <c r="M25" s="4">
        <v>25344.28</v>
      </c>
      <c r="N25" s="8">
        <v>19240.53</v>
      </c>
      <c r="O25" s="8">
        <f t="shared" si="0"/>
        <v>31.723398471871619</v>
      </c>
      <c r="P25" s="4">
        <f t="shared" si="1"/>
        <v>0</v>
      </c>
      <c r="Q25" s="4">
        <v>907.26</v>
      </c>
      <c r="R25" s="4">
        <v>924.41</v>
      </c>
      <c r="S25" s="7">
        <f t="shared" si="2"/>
        <v>1.8903070784560079</v>
      </c>
      <c r="T25" s="5">
        <f t="shared" si="3"/>
        <v>5</v>
      </c>
      <c r="U25" s="5">
        <v>0</v>
      </c>
      <c r="V25" s="5">
        <v>5</v>
      </c>
      <c r="W25" s="5">
        <v>0</v>
      </c>
      <c r="X25" s="5">
        <v>5</v>
      </c>
      <c r="Y25" s="5">
        <v>10</v>
      </c>
      <c r="Z25" s="5">
        <f t="shared" si="4"/>
        <v>106.25</v>
      </c>
      <c r="AA25" s="9">
        <f t="shared" si="5"/>
        <v>1.5</v>
      </c>
      <c r="AB25" s="176" t="s">
        <v>108</v>
      </c>
      <c r="AC25" s="161"/>
      <c r="AD25" s="161"/>
      <c r="AE25" s="161"/>
      <c r="AF25" s="161"/>
      <c r="AG25" s="161"/>
      <c r="AH25" s="161"/>
      <c r="AI25" s="161"/>
      <c r="AJ25" s="161"/>
      <c r="AK25" s="161"/>
    </row>
    <row r="26" spans="1:37" ht="25.5" x14ac:dyDescent="0.25">
      <c r="A26" s="171">
        <v>12</v>
      </c>
      <c r="B26" s="172" t="s">
        <v>257</v>
      </c>
      <c r="C26" s="4"/>
      <c r="D26" s="4"/>
      <c r="E26" s="4"/>
      <c r="F26" s="4"/>
      <c r="G26" s="5">
        <v>335</v>
      </c>
      <c r="H26" s="6">
        <v>0</v>
      </c>
      <c r="I26" s="6">
        <v>0</v>
      </c>
      <c r="J26" s="6">
        <v>20</v>
      </c>
      <c r="K26" s="6">
        <v>0</v>
      </c>
      <c r="L26" s="8">
        <v>85822.19</v>
      </c>
      <c r="M26" s="4">
        <v>28933.14</v>
      </c>
      <c r="N26" s="8">
        <v>18963.02</v>
      </c>
      <c r="O26" s="8">
        <f t="shared" si="0"/>
        <v>52.5766465468053</v>
      </c>
      <c r="P26" s="4">
        <f t="shared" si="1"/>
        <v>0</v>
      </c>
      <c r="Q26" s="4">
        <v>49.93</v>
      </c>
      <c r="R26" s="4">
        <v>49.28</v>
      </c>
      <c r="S26" s="7">
        <f t="shared" si="2"/>
        <v>-1.3018225515721982</v>
      </c>
      <c r="T26" s="5">
        <f t="shared" si="3"/>
        <v>5</v>
      </c>
      <c r="U26" s="5">
        <v>0</v>
      </c>
      <c r="V26" s="5">
        <v>5</v>
      </c>
      <c r="W26" s="5">
        <v>10</v>
      </c>
      <c r="X26" s="5">
        <v>5</v>
      </c>
      <c r="Y26" s="5">
        <v>10</v>
      </c>
      <c r="Z26" s="5">
        <f t="shared" si="4"/>
        <v>78.75</v>
      </c>
      <c r="AA26" s="9">
        <f t="shared" si="5"/>
        <v>1.1100000000000001</v>
      </c>
      <c r="AB26" s="176" t="s">
        <v>107</v>
      </c>
      <c r="AC26" s="161"/>
      <c r="AD26" s="161"/>
      <c r="AE26" s="161"/>
      <c r="AF26" s="161"/>
      <c r="AG26" s="161"/>
      <c r="AH26" s="161"/>
      <c r="AI26" s="161"/>
      <c r="AJ26" s="161"/>
      <c r="AK26" s="161"/>
    </row>
    <row r="27" spans="1:37" ht="38.25" x14ac:dyDescent="0.25">
      <c r="A27" s="171">
        <v>13</v>
      </c>
      <c r="B27" s="172" t="s">
        <v>258</v>
      </c>
      <c r="C27" s="4"/>
      <c r="D27" s="4"/>
      <c r="E27" s="4"/>
      <c r="F27" s="4"/>
      <c r="G27" s="5">
        <v>330</v>
      </c>
      <c r="H27" s="6">
        <v>0</v>
      </c>
      <c r="I27" s="6">
        <v>0</v>
      </c>
      <c r="J27" s="6">
        <v>10</v>
      </c>
      <c r="K27" s="6">
        <v>0</v>
      </c>
      <c r="L27" s="8">
        <v>20949.939999999999</v>
      </c>
      <c r="M27" s="4">
        <v>6404.99</v>
      </c>
      <c r="N27" s="8">
        <v>4848.32</v>
      </c>
      <c r="O27" s="8">
        <f t="shared" si="0"/>
        <v>32.107410401953665</v>
      </c>
      <c r="P27" s="4">
        <f t="shared" si="1"/>
        <v>0</v>
      </c>
      <c r="Q27" s="4">
        <v>636.17999999999995</v>
      </c>
      <c r="R27" s="4">
        <v>683.62</v>
      </c>
      <c r="S27" s="7">
        <f t="shared" si="2"/>
        <v>7.4570090226036747</v>
      </c>
      <c r="T27" s="5">
        <f t="shared" si="3"/>
        <v>0</v>
      </c>
      <c r="U27" s="5">
        <v>0</v>
      </c>
      <c r="V27" s="5">
        <v>5</v>
      </c>
      <c r="W27" s="5">
        <v>0</v>
      </c>
      <c r="X27" s="5">
        <v>5</v>
      </c>
      <c r="Y27" s="5">
        <v>10</v>
      </c>
      <c r="Z27" s="5">
        <f t="shared" si="4"/>
        <v>92.5</v>
      </c>
      <c r="AA27" s="9">
        <f t="shared" si="5"/>
        <v>1.3</v>
      </c>
      <c r="AB27" s="176" t="s">
        <v>108</v>
      </c>
      <c r="AC27" s="161"/>
      <c r="AD27" s="161"/>
      <c r="AE27" s="161"/>
      <c r="AF27" s="161"/>
      <c r="AG27" s="161"/>
      <c r="AH27" s="161"/>
      <c r="AI27" s="161"/>
      <c r="AJ27" s="161"/>
      <c r="AK27" s="161"/>
    </row>
    <row r="28" spans="1:37" ht="38.25" x14ac:dyDescent="0.25">
      <c r="A28" s="171">
        <v>14</v>
      </c>
      <c r="B28" s="172" t="s">
        <v>259</v>
      </c>
      <c r="C28" s="4"/>
      <c r="D28" s="4"/>
      <c r="E28" s="4"/>
      <c r="F28" s="4"/>
      <c r="G28" s="5">
        <v>325</v>
      </c>
      <c r="H28" s="6">
        <v>0</v>
      </c>
      <c r="I28" s="6">
        <v>0</v>
      </c>
      <c r="J28" s="6">
        <v>0</v>
      </c>
      <c r="K28" s="6">
        <v>0</v>
      </c>
      <c r="L28" s="8">
        <v>15466.7</v>
      </c>
      <c r="M28" s="4">
        <v>4709.05</v>
      </c>
      <c r="N28" s="8">
        <v>3585.88</v>
      </c>
      <c r="O28" s="8">
        <f t="shared" si="0"/>
        <v>31.322018584001693</v>
      </c>
      <c r="P28" s="4">
        <f t="shared" si="1"/>
        <v>0</v>
      </c>
      <c r="Q28" s="4">
        <v>3.88</v>
      </c>
      <c r="R28" s="4">
        <v>5.58</v>
      </c>
      <c r="S28" s="7">
        <f t="shared" si="2"/>
        <v>43.814432989690729</v>
      </c>
      <c r="T28" s="5">
        <f t="shared" si="3"/>
        <v>0</v>
      </c>
      <c r="U28" s="5">
        <v>0</v>
      </c>
      <c r="V28" s="5">
        <v>5</v>
      </c>
      <c r="W28" s="5">
        <v>0</v>
      </c>
      <c r="X28" s="5">
        <v>5</v>
      </c>
      <c r="Y28" s="5">
        <v>10</v>
      </c>
      <c r="Z28" s="5">
        <f t="shared" si="4"/>
        <v>101.25</v>
      </c>
      <c r="AA28" s="9">
        <f t="shared" si="5"/>
        <v>1.43</v>
      </c>
      <c r="AB28" s="176" t="s">
        <v>108</v>
      </c>
      <c r="AC28" s="161"/>
      <c r="AD28" s="161"/>
      <c r="AE28" s="161"/>
      <c r="AF28" s="161"/>
      <c r="AG28" s="161"/>
      <c r="AH28" s="161"/>
      <c r="AI28" s="161"/>
      <c r="AJ28" s="161"/>
      <c r="AK28" s="161"/>
    </row>
    <row r="29" spans="1:37" ht="38.25" x14ac:dyDescent="0.25">
      <c r="A29" s="171">
        <v>10</v>
      </c>
      <c r="B29" s="173" t="s">
        <v>260</v>
      </c>
      <c r="C29" s="4"/>
      <c r="D29" s="4"/>
      <c r="E29" s="4"/>
      <c r="F29" s="4"/>
      <c r="G29" s="5">
        <v>330</v>
      </c>
      <c r="H29" s="6">
        <v>10</v>
      </c>
      <c r="I29" s="6">
        <v>0</v>
      </c>
      <c r="J29" s="6">
        <v>0</v>
      </c>
      <c r="K29" s="6">
        <v>0</v>
      </c>
      <c r="L29" s="8">
        <v>49631.15</v>
      </c>
      <c r="M29" s="4">
        <v>13832.26</v>
      </c>
      <c r="N29" s="8">
        <v>11932.96</v>
      </c>
      <c r="O29" s="8">
        <f t="shared" si="0"/>
        <v>15.916419731567032</v>
      </c>
      <c r="P29" s="4">
        <f t="shared" si="1"/>
        <v>10</v>
      </c>
      <c r="Q29" s="4">
        <v>1318.96</v>
      </c>
      <c r="R29" s="4">
        <v>1310.08</v>
      </c>
      <c r="S29" s="7">
        <f t="shared" si="2"/>
        <v>-0.67325771820222813</v>
      </c>
      <c r="T29" s="5">
        <f t="shared" si="3"/>
        <v>5</v>
      </c>
      <c r="U29" s="5">
        <v>5</v>
      </c>
      <c r="V29" s="5">
        <v>5</v>
      </c>
      <c r="W29" s="5">
        <v>10</v>
      </c>
      <c r="X29" s="5">
        <v>5</v>
      </c>
      <c r="Y29" s="5">
        <v>0</v>
      </c>
      <c r="Z29" s="5">
        <f t="shared" si="4"/>
        <v>82.5</v>
      </c>
      <c r="AA29" s="9">
        <f t="shared" si="5"/>
        <v>1.1599999999999999</v>
      </c>
      <c r="AB29" s="176" t="s">
        <v>107</v>
      </c>
      <c r="AC29" s="161"/>
      <c r="AD29" s="161"/>
      <c r="AE29" s="161"/>
      <c r="AF29" s="161"/>
      <c r="AG29" s="161"/>
      <c r="AH29" s="161"/>
      <c r="AI29" s="161"/>
      <c r="AJ29" s="161"/>
      <c r="AK29" s="161"/>
    </row>
    <row r="30" spans="1:37" ht="51" x14ac:dyDescent="0.25">
      <c r="A30" s="171">
        <v>16</v>
      </c>
      <c r="B30" s="172" t="s">
        <v>261</v>
      </c>
      <c r="C30" s="4"/>
      <c r="D30" s="4"/>
      <c r="E30" s="4"/>
      <c r="F30" s="4"/>
      <c r="G30" s="5">
        <v>360</v>
      </c>
      <c r="H30" s="6">
        <v>0</v>
      </c>
      <c r="I30" s="6">
        <v>0</v>
      </c>
      <c r="J30" s="6">
        <v>0</v>
      </c>
      <c r="K30" s="6">
        <v>0</v>
      </c>
      <c r="L30" s="8">
        <v>12639.65</v>
      </c>
      <c r="M30" s="4">
        <v>4443.1000000000004</v>
      </c>
      <c r="N30" s="8">
        <v>2732.18</v>
      </c>
      <c r="O30" s="8">
        <f t="shared" si="0"/>
        <v>62.621057177784799</v>
      </c>
      <c r="P30" s="4">
        <f t="shared" si="1"/>
        <v>0</v>
      </c>
      <c r="Q30" s="4">
        <v>24.7</v>
      </c>
      <c r="R30" s="4">
        <v>13.88</v>
      </c>
      <c r="S30" s="7">
        <f t="shared" si="2"/>
        <v>-43.805668016194325</v>
      </c>
      <c r="T30" s="5">
        <f t="shared" si="3"/>
        <v>5</v>
      </c>
      <c r="U30" s="5">
        <v>0</v>
      </c>
      <c r="V30" s="5">
        <v>5</v>
      </c>
      <c r="W30" s="5">
        <v>0</v>
      </c>
      <c r="X30" s="5">
        <v>5</v>
      </c>
      <c r="Y30" s="5">
        <v>10</v>
      </c>
      <c r="Z30" s="5">
        <f t="shared" si="4"/>
        <v>115</v>
      </c>
      <c r="AA30" s="9">
        <f t="shared" si="5"/>
        <v>1.62</v>
      </c>
      <c r="AB30" s="176" t="s">
        <v>106</v>
      </c>
      <c r="AC30" s="161"/>
      <c r="AD30" s="163"/>
      <c r="AE30" s="163"/>
      <c r="AF30" s="163"/>
      <c r="AG30" s="163"/>
      <c r="AH30" s="163"/>
      <c r="AI30" s="163"/>
      <c r="AJ30" s="163"/>
      <c r="AK30" s="163"/>
    </row>
    <row r="31" spans="1:37" ht="51" x14ac:dyDescent="0.25">
      <c r="A31" s="171">
        <v>17</v>
      </c>
      <c r="B31" s="172" t="s">
        <v>262</v>
      </c>
      <c r="C31" s="4"/>
      <c r="D31" s="4"/>
      <c r="E31" s="4"/>
      <c r="F31" s="4"/>
      <c r="G31" s="5">
        <v>340</v>
      </c>
      <c r="H31" s="6">
        <v>0</v>
      </c>
      <c r="I31" s="6">
        <v>0</v>
      </c>
      <c r="J31" s="6">
        <v>0</v>
      </c>
      <c r="K31" s="6">
        <v>0</v>
      </c>
      <c r="L31" s="8">
        <v>18867.43</v>
      </c>
      <c r="M31" s="4">
        <v>5412.58</v>
      </c>
      <c r="N31" s="8">
        <v>4484.95</v>
      </c>
      <c r="O31" s="8">
        <f t="shared" si="0"/>
        <v>20.683173725459596</v>
      </c>
      <c r="P31" s="4">
        <f t="shared" si="1"/>
        <v>10</v>
      </c>
      <c r="Q31" s="4">
        <v>467.14</v>
      </c>
      <c r="R31" s="4">
        <v>422.89</v>
      </c>
      <c r="S31" s="7">
        <f t="shared" si="2"/>
        <v>-9.4725350002140694</v>
      </c>
      <c r="T31" s="5">
        <f t="shared" si="3"/>
        <v>5</v>
      </c>
      <c r="U31" s="5">
        <v>0</v>
      </c>
      <c r="V31" s="5">
        <v>5</v>
      </c>
      <c r="W31" s="5">
        <v>0</v>
      </c>
      <c r="X31" s="5">
        <v>5</v>
      </c>
      <c r="Y31" s="5">
        <v>10</v>
      </c>
      <c r="Z31" s="5">
        <f t="shared" si="4"/>
        <v>120</v>
      </c>
      <c r="AA31" s="9">
        <f t="shared" si="5"/>
        <v>1.69</v>
      </c>
      <c r="AB31" s="176" t="s">
        <v>106</v>
      </c>
      <c r="AC31" s="161"/>
      <c r="AD31" s="163"/>
      <c r="AF31" s="163"/>
      <c r="AG31" s="163"/>
      <c r="AH31" s="163"/>
      <c r="AI31" s="163"/>
      <c r="AJ31" s="163"/>
      <c r="AK31" s="163"/>
    </row>
    <row r="32" spans="1:37" ht="38.25" x14ac:dyDescent="0.25">
      <c r="A32" s="171">
        <v>18</v>
      </c>
      <c r="B32" s="172" t="s">
        <v>263</v>
      </c>
      <c r="C32" s="4"/>
      <c r="D32" s="4"/>
      <c r="E32" s="4"/>
      <c r="F32" s="4"/>
      <c r="G32" s="5">
        <v>345</v>
      </c>
      <c r="H32" s="6">
        <v>0</v>
      </c>
      <c r="I32" s="6">
        <v>0</v>
      </c>
      <c r="J32" s="6">
        <v>0</v>
      </c>
      <c r="K32" s="6">
        <v>0</v>
      </c>
      <c r="L32" s="8">
        <v>13691.99</v>
      </c>
      <c r="M32" s="4">
        <v>4036.02</v>
      </c>
      <c r="N32" s="8">
        <v>3218.66</v>
      </c>
      <c r="O32" s="8">
        <f t="shared" si="0"/>
        <v>25.394418795399332</v>
      </c>
      <c r="P32" s="4">
        <f t="shared" si="1"/>
        <v>0</v>
      </c>
      <c r="Q32" s="4">
        <v>19.75</v>
      </c>
      <c r="R32" s="4">
        <v>5.95</v>
      </c>
      <c r="S32" s="7">
        <f t="shared" si="2"/>
        <v>-69.87341772151899</v>
      </c>
      <c r="T32" s="5">
        <f t="shared" si="3"/>
        <v>5</v>
      </c>
      <c r="U32" s="5">
        <v>5</v>
      </c>
      <c r="V32" s="5">
        <v>5</v>
      </c>
      <c r="W32" s="5">
        <v>0</v>
      </c>
      <c r="X32" s="5">
        <v>5</v>
      </c>
      <c r="Y32" s="5">
        <v>10</v>
      </c>
      <c r="Z32" s="5">
        <f t="shared" si="4"/>
        <v>106.25</v>
      </c>
      <c r="AA32" s="9">
        <f t="shared" si="5"/>
        <v>1.5</v>
      </c>
      <c r="AB32" s="176" t="s">
        <v>108</v>
      </c>
      <c r="AC32" s="161"/>
      <c r="AD32" s="161"/>
      <c r="AE32" s="161"/>
      <c r="AF32" s="161"/>
      <c r="AG32" s="161"/>
      <c r="AH32" s="161"/>
      <c r="AI32" s="161"/>
      <c r="AJ32" s="161"/>
      <c r="AK32" s="161"/>
    </row>
    <row r="33" spans="1:37" ht="38.25" x14ac:dyDescent="0.25">
      <c r="A33" s="171">
        <v>19</v>
      </c>
      <c r="B33" s="172" t="s">
        <v>264</v>
      </c>
      <c r="C33" s="4"/>
      <c r="D33" s="4"/>
      <c r="E33" s="4"/>
      <c r="F33" s="4"/>
      <c r="G33" s="5">
        <v>310</v>
      </c>
      <c r="H33" s="6">
        <v>0</v>
      </c>
      <c r="I33" s="6">
        <v>0</v>
      </c>
      <c r="J33" s="6">
        <v>0</v>
      </c>
      <c r="K33" s="6">
        <v>0</v>
      </c>
      <c r="L33" s="8">
        <v>36146.800000000003</v>
      </c>
      <c r="M33" s="4">
        <v>11782.45</v>
      </c>
      <c r="N33" s="8">
        <v>8121.45</v>
      </c>
      <c r="O33" s="8">
        <f t="shared" si="0"/>
        <v>45.078157225618597</v>
      </c>
      <c r="P33" s="4">
        <f t="shared" si="1"/>
        <v>0</v>
      </c>
      <c r="Q33" s="4">
        <v>47.04</v>
      </c>
      <c r="R33" s="4">
        <v>42.06</v>
      </c>
      <c r="S33" s="7">
        <f t="shared" si="2"/>
        <v>-10.586734693877546</v>
      </c>
      <c r="T33" s="5">
        <f t="shared" si="3"/>
        <v>5</v>
      </c>
      <c r="U33" s="5">
        <v>0</v>
      </c>
      <c r="V33" s="5">
        <v>5</v>
      </c>
      <c r="W33" s="5">
        <v>20</v>
      </c>
      <c r="X33" s="5">
        <v>5</v>
      </c>
      <c r="Y33" s="5">
        <v>10</v>
      </c>
      <c r="Z33" s="5">
        <f t="shared" si="4"/>
        <v>82.5</v>
      </c>
      <c r="AA33" s="9">
        <f t="shared" si="5"/>
        <v>1.1599999999999999</v>
      </c>
      <c r="AB33" s="176" t="s">
        <v>107</v>
      </c>
      <c r="AC33" s="161"/>
      <c r="AD33" s="161"/>
      <c r="AE33" s="161"/>
      <c r="AF33" s="161"/>
      <c r="AG33" s="161"/>
      <c r="AH33" s="161"/>
      <c r="AI33" s="161"/>
      <c r="AJ33" s="161"/>
      <c r="AK33" s="161"/>
    </row>
    <row r="34" spans="1:37" ht="51" x14ac:dyDescent="0.25">
      <c r="A34" s="171">
        <v>20</v>
      </c>
      <c r="B34" s="172" t="s">
        <v>265</v>
      </c>
      <c r="C34" s="4"/>
      <c r="D34" s="4"/>
      <c r="E34" s="4"/>
      <c r="F34" s="4"/>
      <c r="G34" s="5">
        <v>330</v>
      </c>
      <c r="H34" s="6">
        <v>0</v>
      </c>
      <c r="I34" s="6">
        <v>0</v>
      </c>
      <c r="J34" s="6">
        <v>10</v>
      </c>
      <c r="K34" s="6">
        <v>0</v>
      </c>
      <c r="L34" s="8">
        <v>11974.18</v>
      </c>
      <c r="M34" s="4">
        <v>3781.13</v>
      </c>
      <c r="N34" s="8">
        <v>2731.02</v>
      </c>
      <c r="O34" s="8">
        <f t="shared" si="0"/>
        <v>38.451201382633599</v>
      </c>
      <c r="P34" s="4">
        <f t="shared" si="1"/>
        <v>0</v>
      </c>
      <c r="Q34" s="4">
        <v>1.39</v>
      </c>
      <c r="R34" s="4">
        <v>1.55</v>
      </c>
      <c r="S34" s="7">
        <f t="shared" si="2"/>
        <v>11.510791366906487</v>
      </c>
      <c r="T34" s="5">
        <f t="shared" si="3"/>
        <v>0</v>
      </c>
      <c r="U34" s="5">
        <v>0</v>
      </c>
      <c r="V34" s="5">
        <v>5</v>
      </c>
      <c r="W34" s="5">
        <v>0</v>
      </c>
      <c r="X34" s="5">
        <v>5</v>
      </c>
      <c r="Y34" s="5">
        <v>10</v>
      </c>
      <c r="Z34" s="5">
        <f t="shared" si="4"/>
        <v>92.5</v>
      </c>
      <c r="AA34" s="9">
        <f t="shared" si="5"/>
        <v>1.3</v>
      </c>
      <c r="AB34" s="176" t="s">
        <v>108</v>
      </c>
      <c r="AC34" s="161"/>
      <c r="AD34" s="161"/>
      <c r="AE34" s="161"/>
      <c r="AF34" s="161"/>
      <c r="AG34" s="161"/>
      <c r="AH34" s="161"/>
      <c r="AI34" s="161"/>
      <c r="AJ34" s="161"/>
      <c r="AK34" s="161"/>
    </row>
    <row r="35" spans="1:37" ht="38.25" x14ac:dyDescent="0.25">
      <c r="A35" s="171">
        <v>21</v>
      </c>
      <c r="B35" s="172" t="s">
        <v>266</v>
      </c>
      <c r="C35" s="4"/>
      <c r="D35" s="4"/>
      <c r="E35" s="4"/>
      <c r="F35" s="4"/>
      <c r="G35" s="5">
        <v>260</v>
      </c>
      <c r="H35" s="6">
        <v>0</v>
      </c>
      <c r="I35" s="6">
        <v>0</v>
      </c>
      <c r="J35" s="6">
        <v>0</v>
      </c>
      <c r="K35" s="6">
        <v>0</v>
      </c>
      <c r="L35" s="8">
        <v>31854.34</v>
      </c>
      <c r="M35" s="4">
        <v>11159.84</v>
      </c>
      <c r="N35" s="8">
        <v>6898.17</v>
      </c>
      <c r="O35" s="8">
        <f t="shared" si="0"/>
        <v>61.779718389080003</v>
      </c>
      <c r="P35" s="4">
        <f t="shared" si="1"/>
        <v>0</v>
      </c>
      <c r="Q35" s="4">
        <v>272.25</v>
      </c>
      <c r="R35" s="4">
        <v>415.04</v>
      </c>
      <c r="S35" s="7">
        <f t="shared" si="2"/>
        <v>52.44811753902664</v>
      </c>
      <c r="T35" s="5">
        <f t="shared" si="3"/>
        <v>0</v>
      </c>
      <c r="U35" s="5">
        <v>0</v>
      </c>
      <c r="V35" s="5">
        <v>5</v>
      </c>
      <c r="W35" s="5">
        <v>20</v>
      </c>
      <c r="X35" s="5">
        <v>5</v>
      </c>
      <c r="Y35" s="5">
        <v>10</v>
      </c>
      <c r="Z35" s="5">
        <f t="shared" si="4"/>
        <v>65</v>
      </c>
      <c r="AA35" s="9">
        <f t="shared" si="5"/>
        <v>0.92</v>
      </c>
      <c r="AB35" s="176" t="s">
        <v>107</v>
      </c>
      <c r="AC35" s="161"/>
      <c r="AD35" s="161"/>
      <c r="AE35" s="161"/>
      <c r="AF35" s="161"/>
      <c r="AG35" s="161"/>
      <c r="AH35" s="161"/>
      <c r="AI35" s="161"/>
      <c r="AJ35" s="161"/>
      <c r="AK35" s="161"/>
    </row>
    <row r="36" spans="1:37" ht="38.25" x14ac:dyDescent="0.25">
      <c r="A36" s="171">
        <v>22</v>
      </c>
      <c r="B36" s="172" t="s">
        <v>267</v>
      </c>
      <c r="C36" s="4"/>
      <c r="D36" s="4"/>
      <c r="E36" s="4"/>
      <c r="F36" s="4"/>
      <c r="G36" s="5">
        <v>275</v>
      </c>
      <c r="H36" s="6">
        <v>0</v>
      </c>
      <c r="I36" s="6">
        <v>0</v>
      </c>
      <c r="J36" s="6">
        <v>20</v>
      </c>
      <c r="K36" s="6">
        <v>0</v>
      </c>
      <c r="L36" s="8">
        <v>19946.84</v>
      </c>
      <c r="M36" s="4">
        <v>6324.83</v>
      </c>
      <c r="N36" s="8">
        <v>4540.67</v>
      </c>
      <c r="O36" s="8">
        <f t="shared" si="0"/>
        <v>39.292879685156592</v>
      </c>
      <c r="P36" s="4">
        <f t="shared" si="1"/>
        <v>0</v>
      </c>
      <c r="Q36" s="4">
        <v>37.81</v>
      </c>
      <c r="R36" s="4">
        <v>37.950000000000003</v>
      </c>
      <c r="S36" s="7">
        <f t="shared" si="2"/>
        <v>0.37027241470510591</v>
      </c>
      <c r="T36" s="5">
        <f t="shared" si="3"/>
        <v>5</v>
      </c>
      <c r="U36" s="5">
        <v>0</v>
      </c>
      <c r="V36" s="5">
        <v>5</v>
      </c>
      <c r="W36" s="5">
        <v>0</v>
      </c>
      <c r="X36" s="5">
        <v>5</v>
      </c>
      <c r="Y36" s="5">
        <v>10</v>
      </c>
      <c r="Z36" s="5">
        <f t="shared" si="4"/>
        <v>73.75</v>
      </c>
      <c r="AA36" s="9">
        <f t="shared" si="5"/>
        <v>1.04</v>
      </c>
      <c r="AB36" s="176" t="s">
        <v>107</v>
      </c>
      <c r="AC36" s="161"/>
      <c r="AD36" s="161"/>
      <c r="AE36" s="161"/>
      <c r="AF36" s="161"/>
      <c r="AG36" s="161"/>
      <c r="AH36" s="161"/>
      <c r="AI36" s="161"/>
      <c r="AJ36" s="161"/>
      <c r="AK36" s="161"/>
    </row>
    <row r="37" spans="1:37" ht="38.25" x14ac:dyDescent="0.25">
      <c r="A37" s="171">
        <v>23</v>
      </c>
      <c r="B37" s="172" t="s">
        <v>268</v>
      </c>
      <c r="C37" s="4"/>
      <c r="D37" s="4"/>
      <c r="E37" s="4"/>
      <c r="F37" s="4"/>
      <c r="G37" s="5">
        <v>340</v>
      </c>
      <c r="H37" s="6">
        <v>0</v>
      </c>
      <c r="I37" s="6">
        <v>0</v>
      </c>
      <c r="J37" s="6">
        <v>0</v>
      </c>
      <c r="K37" s="6">
        <v>0</v>
      </c>
      <c r="L37" s="8">
        <v>16010.46</v>
      </c>
      <c r="M37" s="4">
        <v>5213.21</v>
      </c>
      <c r="N37" s="8">
        <v>3599.08</v>
      </c>
      <c r="O37" s="8">
        <f t="shared" si="0"/>
        <v>44.84840570367983</v>
      </c>
      <c r="P37" s="4">
        <f t="shared" si="1"/>
        <v>0</v>
      </c>
      <c r="Q37" s="4">
        <v>91.08</v>
      </c>
      <c r="R37" s="4">
        <v>91.02</v>
      </c>
      <c r="S37" s="7">
        <f t="shared" si="2"/>
        <v>-6.5876152832677073E-2</v>
      </c>
      <c r="T37" s="5">
        <f t="shared" si="3"/>
        <v>5</v>
      </c>
      <c r="U37" s="5">
        <v>0</v>
      </c>
      <c r="V37" s="5">
        <v>5</v>
      </c>
      <c r="W37" s="5">
        <v>0</v>
      </c>
      <c r="X37" s="5">
        <v>5</v>
      </c>
      <c r="Y37" s="5">
        <v>10</v>
      </c>
      <c r="Z37" s="5">
        <f t="shared" si="4"/>
        <v>110</v>
      </c>
      <c r="AA37" s="9">
        <f t="shared" si="5"/>
        <v>1.55</v>
      </c>
      <c r="AB37" s="176" t="s">
        <v>108</v>
      </c>
      <c r="AC37" s="161"/>
      <c r="AD37" s="161"/>
      <c r="AE37" s="161"/>
      <c r="AF37" s="161"/>
      <c r="AG37" s="161"/>
      <c r="AH37" s="161"/>
      <c r="AI37" s="161"/>
      <c r="AJ37" s="161"/>
      <c r="AK37" s="161"/>
    </row>
    <row r="38" spans="1:37" ht="38.25" x14ac:dyDescent="0.25">
      <c r="A38" s="171">
        <v>24</v>
      </c>
      <c r="B38" s="172" t="s">
        <v>269</v>
      </c>
      <c r="C38" s="4"/>
      <c r="D38" s="4"/>
      <c r="E38" s="4"/>
      <c r="F38" s="4"/>
      <c r="G38" s="5">
        <v>295</v>
      </c>
      <c r="H38" s="6">
        <v>0</v>
      </c>
      <c r="I38" s="6">
        <v>0</v>
      </c>
      <c r="J38" s="6">
        <v>20</v>
      </c>
      <c r="K38" s="6">
        <v>0</v>
      </c>
      <c r="L38" s="8">
        <v>17035.57</v>
      </c>
      <c r="M38" s="4">
        <v>5157.0200000000004</v>
      </c>
      <c r="N38" s="8">
        <v>3959.52</v>
      </c>
      <c r="O38" s="8">
        <f t="shared" si="0"/>
        <v>30.243564876550703</v>
      </c>
      <c r="P38" s="4">
        <f t="shared" si="1"/>
        <v>0</v>
      </c>
      <c r="Q38" s="4">
        <v>1107.1300000000001</v>
      </c>
      <c r="R38" s="4">
        <v>1049.75</v>
      </c>
      <c r="S38" s="7">
        <f t="shared" si="2"/>
        <v>-5.182769864424241</v>
      </c>
      <c r="T38" s="5">
        <f t="shared" si="3"/>
        <v>5</v>
      </c>
      <c r="U38" s="5">
        <v>0</v>
      </c>
      <c r="V38" s="5">
        <v>5</v>
      </c>
      <c r="W38" s="5">
        <v>0</v>
      </c>
      <c r="X38" s="5">
        <v>5</v>
      </c>
      <c r="Y38" s="5">
        <v>10</v>
      </c>
      <c r="Z38" s="5">
        <f t="shared" si="4"/>
        <v>78.75</v>
      </c>
      <c r="AA38" s="9">
        <f t="shared" si="5"/>
        <v>1.1100000000000001</v>
      </c>
      <c r="AB38" s="176" t="s">
        <v>107</v>
      </c>
      <c r="AC38" s="161"/>
      <c r="AD38" s="161"/>
      <c r="AE38" s="161"/>
      <c r="AF38" s="161"/>
      <c r="AG38" s="161"/>
      <c r="AH38" s="161"/>
      <c r="AI38" s="161"/>
      <c r="AJ38" s="161"/>
      <c r="AK38" s="161"/>
    </row>
    <row r="39" spans="1:37" ht="38.25" x14ac:dyDescent="0.25">
      <c r="A39" s="171">
        <v>25</v>
      </c>
      <c r="B39" s="172" t="s">
        <v>270</v>
      </c>
      <c r="C39" s="4"/>
      <c r="D39" s="4"/>
      <c r="E39" s="4"/>
      <c r="F39" s="4"/>
      <c r="G39" s="5">
        <v>355</v>
      </c>
      <c r="H39" s="6">
        <v>0</v>
      </c>
      <c r="I39" s="6">
        <v>0</v>
      </c>
      <c r="J39" s="6">
        <v>0</v>
      </c>
      <c r="K39" s="6">
        <v>0</v>
      </c>
      <c r="L39" s="8">
        <v>14654.16</v>
      </c>
      <c r="M39" s="4">
        <v>4132.8100000000004</v>
      </c>
      <c r="N39" s="8">
        <v>3507.12</v>
      </c>
      <c r="O39" s="8">
        <f t="shared" si="0"/>
        <v>17.8405643376902</v>
      </c>
      <c r="P39" s="4">
        <f t="shared" si="1"/>
        <v>10</v>
      </c>
      <c r="Q39" s="4">
        <v>88.91</v>
      </c>
      <c r="R39" s="4">
        <v>88.85</v>
      </c>
      <c r="S39" s="7">
        <f t="shared" si="2"/>
        <v>-6.7483972556520389E-2</v>
      </c>
      <c r="T39" s="5">
        <f t="shared" si="3"/>
        <v>5</v>
      </c>
      <c r="U39" s="5">
        <v>0</v>
      </c>
      <c r="V39" s="5">
        <v>5</v>
      </c>
      <c r="W39" s="5">
        <v>0</v>
      </c>
      <c r="X39" s="5">
        <v>5</v>
      </c>
      <c r="Y39" s="5">
        <v>10</v>
      </c>
      <c r="Z39" s="5">
        <f t="shared" si="4"/>
        <v>123.75</v>
      </c>
      <c r="AA39" s="9">
        <f t="shared" si="5"/>
        <v>1.74</v>
      </c>
      <c r="AB39" s="176" t="s">
        <v>106</v>
      </c>
      <c r="AC39" s="161"/>
      <c r="AD39" s="161"/>
      <c r="AE39" s="161"/>
      <c r="AF39" s="161"/>
      <c r="AG39" s="161"/>
      <c r="AH39" s="161"/>
      <c r="AI39" s="161"/>
      <c r="AJ39" s="161"/>
      <c r="AK39" s="161"/>
    </row>
    <row r="40" spans="1:37" ht="38.25" x14ac:dyDescent="0.25">
      <c r="A40" s="171">
        <v>26</v>
      </c>
      <c r="B40" s="172" t="s">
        <v>271</v>
      </c>
      <c r="C40" s="4"/>
      <c r="D40" s="4"/>
      <c r="E40" s="4"/>
      <c r="F40" s="4"/>
      <c r="G40" s="5">
        <v>360</v>
      </c>
      <c r="H40" s="6">
        <v>0</v>
      </c>
      <c r="I40" s="6">
        <v>0</v>
      </c>
      <c r="J40" s="6">
        <v>0</v>
      </c>
      <c r="K40" s="6">
        <v>0</v>
      </c>
      <c r="L40" s="8">
        <v>17549</v>
      </c>
      <c r="M40" s="4">
        <v>5374.05</v>
      </c>
      <c r="N40" s="8">
        <v>4058.32</v>
      </c>
      <c r="O40" s="8">
        <f t="shared" si="0"/>
        <v>32.420558260561016</v>
      </c>
      <c r="P40" s="4">
        <f t="shared" si="1"/>
        <v>0</v>
      </c>
      <c r="Q40" s="4">
        <v>153</v>
      </c>
      <c r="R40" s="4">
        <v>152.13</v>
      </c>
      <c r="S40" s="7">
        <f t="shared" si="2"/>
        <v>-0.56862745098039513</v>
      </c>
      <c r="T40" s="5">
        <f t="shared" si="3"/>
        <v>5</v>
      </c>
      <c r="U40" s="5">
        <v>0</v>
      </c>
      <c r="V40" s="5">
        <v>5</v>
      </c>
      <c r="W40" s="5">
        <v>0</v>
      </c>
      <c r="X40" s="5">
        <v>5</v>
      </c>
      <c r="Y40" s="5">
        <v>10</v>
      </c>
      <c r="Z40" s="5">
        <f t="shared" si="4"/>
        <v>115</v>
      </c>
      <c r="AA40" s="9">
        <f t="shared" si="5"/>
        <v>1.62</v>
      </c>
      <c r="AB40" s="178" t="s">
        <v>106</v>
      </c>
      <c r="AC40" s="161"/>
      <c r="AD40" s="161"/>
      <c r="AE40" s="161"/>
      <c r="AF40" s="161"/>
      <c r="AG40" s="161"/>
      <c r="AH40" s="161"/>
      <c r="AI40" s="161"/>
      <c r="AJ40" s="161"/>
      <c r="AK40" s="161"/>
    </row>
    <row r="41" spans="1:37" ht="63.75" x14ac:dyDescent="0.25">
      <c r="A41" s="171">
        <v>27</v>
      </c>
      <c r="B41" s="172" t="s">
        <v>272</v>
      </c>
      <c r="C41" s="4"/>
      <c r="D41" s="4"/>
      <c r="E41" s="4"/>
      <c r="F41" s="4"/>
      <c r="G41" s="5">
        <v>305</v>
      </c>
      <c r="H41" s="6">
        <v>0</v>
      </c>
      <c r="I41" s="6">
        <v>0</v>
      </c>
      <c r="J41" s="6">
        <v>0</v>
      </c>
      <c r="K41" s="6">
        <v>0</v>
      </c>
      <c r="L41" s="8">
        <v>32905.760000000002</v>
      </c>
      <c r="M41" s="4">
        <v>9947.41</v>
      </c>
      <c r="N41" s="8">
        <v>7652.78</v>
      </c>
      <c r="O41" s="8">
        <f t="shared" si="0"/>
        <v>29.984267155203732</v>
      </c>
      <c r="P41" s="4">
        <f t="shared" si="1"/>
        <v>0</v>
      </c>
      <c r="Q41" s="4">
        <v>84.96</v>
      </c>
      <c r="R41" s="4">
        <v>38.880000000000003</v>
      </c>
      <c r="S41" s="7">
        <f t="shared" si="2"/>
        <v>-54.237288135593211</v>
      </c>
      <c r="T41" s="5">
        <f t="shared" si="3"/>
        <v>5</v>
      </c>
      <c r="U41" s="5">
        <v>0</v>
      </c>
      <c r="V41" s="5">
        <v>5</v>
      </c>
      <c r="W41" s="5">
        <v>20</v>
      </c>
      <c r="X41" s="5">
        <v>5</v>
      </c>
      <c r="Y41" s="5">
        <v>10</v>
      </c>
      <c r="Z41" s="5">
        <f t="shared" si="4"/>
        <v>81.25</v>
      </c>
      <c r="AA41" s="9">
        <f t="shared" si="5"/>
        <v>1.1399999999999999</v>
      </c>
      <c r="AB41" s="176" t="s">
        <v>107</v>
      </c>
      <c r="AC41" s="161"/>
      <c r="AD41" s="161"/>
      <c r="AE41" s="161"/>
      <c r="AF41" s="161"/>
      <c r="AG41" s="161"/>
      <c r="AH41" s="161"/>
      <c r="AI41" s="161"/>
      <c r="AJ41" s="161"/>
      <c r="AK41" s="161"/>
    </row>
    <row r="42" spans="1:37" ht="38.25" x14ac:dyDescent="0.25">
      <c r="A42" s="171">
        <v>28</v>
      </c>
      <c r="B42" s="172" t="s">
        <v>273</v>
      </c>
      <c r="C42" s="4"/>
      <c r="D42" s="4"/>
      <c r="E42" s="4"/>
      <c r="F42" s="4"/>
      <c r="G42" s="5">
        <v>345</v>
      </c>
      <c r="H42" s="6">
        <v>0</v>
      </c>
      <c r="I42" s="6">
        <v>0</v>
      </c>
      <c r="J42" s="6">
        <v>0</v>
      </c>
      <c r="K42" s="6">
        <v>0</v>
      </c>
      <c r="L42" s="8">
        <v>39087.54</v>
      </c>
      <c r="M42" s="4">
        <v>11691.31</v>
      </c>
      <c r="N42" s="8">
        <v>9132.08</v>
      </c>
      <c r="O42" s="8">
        <f t="shared" si="0"/>
        <v>28.024612136555959</v>
      </c>
      <c r="P42" s="4">
        <f t="shared" si="1"/>
        <v>0</v>
      </c>
      <c r="Q42" s="4">
        <v>77.17</v>
      </c>
      <c r="R42" s="4">
        <v>75.099999999999994</v>
      </c>
      <c r="S42" s="7">
        <f t="shared" si="2"/>
        <v>-2.6823895296099618</v>
      </c>
      <c r="T42" s="5">
        <f t="shared" si="3"/>
        <v>5</v>
      </c>
      <c r="U42" s="5">
        <v>0</v>
      </c>
      <c r="V42" s="5">
        <v>5</v>
      </c>
      <c r="W42" s="5">
        <v>0</v>
      </c>
      <c r="X42" s="5">
        <v>5</v>
      </c>
      <c r="Y42" s="5">
        <v>10</v>
      </c>
      <c r="Z42" s="5">
        <f t="shared" si="4"/>
        <v>111.25</v>
      </c>
      <c r="AA42" s="9">
        <f t="shared" si="5"/>
        <v>1.57</v>
      </c>
      <c r="AB42" s="176" t="s">
        <v>108</v>
      </c>
      <c r="AC42" s="161"/>
      <c r="AD42" s="161"/>
      <c r="AE42" s="161"/>
      <c r="AF42" s="161"/>
      <c r="AG42" s="161"/>
      <c r="AH42" s="161"/>
      <c r="AI42" s="161"/>
      <c r="AJ42" s="161"/>
      <c r="AK42" s="161"/>
    </row>
    <row r="43" spans="1:37" ht="38.25" x14ac:dyDescent="0.25">
      <c r="A43" s="171">
        <v>29</v>
      </c>
      <c r="B43" s="172" t="s">
        <v>274</v>
      </c>
      <c r="C43" s="4"/>
      <c r="D43" s="4"/>
      <c r="E43" s="4"/>
      <c r="F43" s="4"/>
      <c r="G43" s="5">
        <v>310</v>
      </c>
      <c r="H43" s="6">
        <v>0</v>
      </c>
      <c r="I43" s="6">
        <v>0</v>
      </c>
      <c r="J43" s="6">
        <v>0</v>
      </c>
      <c r="K43" s="6">
        <v>0</v>
      </c>
      <c r="L43" s="8">
        <v>13440.14</v>
      </c>
      <c r="M43" s="4">
        <v>4340.47</v>
      </c>
      <c r="N43" s="8">
        <v>3033.23</v>
      </c>
      <c r="O43" s="8">
        <f t="shared" si="0"/>
        <v>43.097292325342963</v>
      </c>
      <c r="P43" s="4">
        <f t="shared" si="1"/>
        <v>0</v>
      </c>
      <c r="Q43" s="4">
        <v>504.8</v>
      </c>
      <c r="R43" s="4">
        <v>472.35</v>
      </c>
      <c r="S43" s="7">
        <f t="shared" si="2"/>
        <v>-6.4282884310618043</v>
      </c>
      <c r="T43" s="5">
        <f t="shared" si="3"/>
        <v>5</v>
      </c>
      <c r="U43" s="5">
        <v>0</v>
      </c>
      <c r="V43" s="5">
        <v>5</v>
      </c>
      <c r="W43" s="5">
        <v>0</v>
      </c>
      <c r="X43" s="5">
        <v>5</v>
      </c>
      <c r="Y43" s="5">
        <v>10</v>
      </c>
      <c r="Z43" s="5">
        <f t="shared" si="4"/>
        <v>102.5</v>
      </c>
      <c r="AA43" s="9">
        <f t="shared" si="5"/>
        <v>1.44</v>
      </c>
      <c r="AB43" s="176" t="s">
        <v>108</v>
      </c>
      <c r="AC43" s="161"/>
      <c r="AD43" s="161"/>
      <c r="AE43" s="161"/>
      <c r="AF43" s="161"/>
      <c r="AG43" s="161"/>
      <c r="AH43" s="161"/>
      <c r="AI43" s="161"/>
      <c r="AJ43" s="161"/>
      <c r="AK43" s="161"/>
    </row>
    <row r="44" spans="1:37" ht="38.25" x14ac:dyDescent="0.25">
      <c r="A44" s="171">
        <v>30</v>
      </c>
      <c r="B44" s="172" t="s">
        <v>275</v>
      </c>
      <c r="C44" s="4"/>
      <c r="D44" s="4"/>
      <c r="E44" s="4"/>
      <c r="F44" s="4"/>
      <c r="G44" s="5">
        <v>350</v>
      </c>
      <c r="H44" s="6">
        <v>0</v>
      </c>
      <c r="I44" s="6">
        <v>0</v>
      </c>
      <c r="J44" s="6">
        <v>10</v>
      </c>
      <c r="K44" s="6">
        <v>0</v>
      </c>
      <c r="L44" s="8">
        <v>31620.75</v>
      </c>
      <c r="M44" s="4">
        <v>9110</v>
      </c>
      <c r="N44" s="8">
        <v>7503.58</v>
      </c>
      <c r="O44" s="8">
        <f t="shared" si="0"/>
        <v>21.408714240402581</v>
      </c>
      <c r="P44" s="4">
        <f t="shared" si="1"/>
        <v>10</v>
      </c>
      <c r="Q44" s="4">
        <v>5.22</v>
      </c>
      <c r="R44" s="4">
        <v>5.72</v>
      </c>
      <c r="S44" s="7">
        <f t="shared" si="2"/>
        <v>9.5785440613026829</v>
      </c>
      <c r="T44" s="5">
        <f t="shared" si="3"/>
        <v>0</v>
      </c>
      <c r="U44" s="5">
        <v>0</v>
      </c>
      <c r="V44" s="5">
        <v>5</v>
      </c>
      <c r="W44" s="5">
        <v>0</v>
      </c>
      <c r="X44" s="5">
        <v>5</v>
      </c>
      <c r="Y44" s="5">
        <v>10</v>
      </c>
      <c r="Z44" s="5">
        <f t="shared" si="4"/>
        <v>107.5</v>
      </c>
      <c r="AA44" s="9">
        <f t="shared" si="5"/>
        <v>1.51</v>
      </c>
      <c r="AB44" s="177" t="s">
        <v>108</v>
      </c>
      <c r="AC44" s="161"/>
      <c r="AD44" s="161"/>
      <c r="AE44" s="161"/>
      <c r="AF44" s="161"/>
      <c r="AG44" s="161"/>
      <c r="AH44" s="161"/>
      <c r="AI44" s="161"/>
      <c r="AJ44" s="161"/>
      <c r="AK44" s="161"/>
    </row>
    <row r="45" spans="1:37" ht="38.25" x14ac:dyDescent="0.25">
      <c r="A45" s="171">
        <v>31</v>
      </c>
      <c r="B45" s="172" t="s">
        <v>276</v>
      </c>
      <c r="C45" s="4"/>
      <c r="D45" s="4"/>
      <c r="E45" s="4"/>
      <c r="F45" s="4"/>
      <c r="G45" s="5">
        <v>375</v>
      </c>
      <c r="H45" s="6">
        <v>0</v>
      </c>
      <c r="I45" s="6">
        <v>0</v>
      </c>
      <c r="J45" s="6">
        <v>0</v>
      </c>
      <c r="K45" s="6">
        <v>0</v>
      </c>
      <c r="L45" s="8">
        <v>27839.65</v>
      </c>
      <c r="M45" s="4">
        <v>8159.6</v>
      </c>
      <c r="N45" s="8">
        <v>6560.02</v>
      </c>
      <c r="O45" s="8">
        <f t="shared" si="0"/>
        <v>24.383767122661208</v>
      </c>
      <c r="P45" s="4">
        <f t="shared" si="1"/>
        <v>10</v>
      </c>
      <c r="Q45" s="4">
        <v>93.03</v>
      </c>
      <c r="R45" s="4">
        <v>98.31</v>
      </c>
      <c r="S45" s="7">
        <f t="shared" si="2"/>
        <v>5.6755885198323135</v>
      </c>
      <c r="T45" s="5">
        <f t="shared" si="3"/>
        <v>0</v>
      </c>
      <c r="U45" s="5">
        <v>0</v>
      </c>
      <c r="V45" s="5">
        <v>5</v>
      </c>
      <c r="W45" s="5">
        <v>0</v>
      </c>
      <c r="X45" s="5">
        <v>5</v>
      </c>
      <c r="Y45" s="5">
        <v>10</v>
      </c>
      <c r="Z45" s="5">
        <f t="shared" si="4"/>
        <v>123.75</v>
      </c>
      <c r="AA45" s="9">
        <f t="shared" si="5"/>
        <v>1.74</v>
      </c>
      <c r="AB45" s="176" t="s">
        <v>106</v>
      </c>
      <c r="AC45" s="161"/>
      <c r="AD45" s="161"/>
      <c r="AE45" s="161"/>
      <c r="AF45" s="161"/>
      <c r="AG45" s="161"/>
      <c r="AH45" s="161"/>
      <c r="AI45" s="161"/>
      <c r="AJ45" s="161"/>
      <c r="AK45" s="161"/>
    </row>
    <row r="46" spans="1:37" ht="38.25" x14ac:dyDescent="0.25">
      <c r="A46" s="171">
        <v>32</v>
      </c>
      <c r="B46" s="172" t="s">
        <v>277</v>
      </c>
      <c r="C46" s="4"/>
      <c r="D46" s="4"/>
      <c r="E46" s="4"/>
      <c r="F46" s="4"/>
      <c r="G46" s="5">
        <v>360</v>
      </c>
      <c r="H46" s="6">
        <v>0</v>
      </c>
      <c r="I46" s="6">
        <v>0</v>
      </c>
      <c r="J46" s="6">
        <v>0</v>
      </c>
      <c r="K46" s="6">
        <v>0</v>
      </c>
      <c r="L46" s="8">
        <v>14104.12</v>
      </c>
      <c r="M46" s="4">
        <v>4429.87</v>
      </c>
      <c r="N46" s="8">
        <v>3224.75</v>
      </c>
      <c r="O46" s="8">
        <f t="shared" si="0"/>
        <v>37.370958989068917</v>
      </c>
      <c r="P46" s="4">
        <f t="shared" si="1"/>
        <v>0</v>
      </c>
      <c r="Q46" s="4">
        <v>155.47999999999999</v>
      </c>
      <c r="R46" s="4">
        <v>150.24</v>
      </c>
      <c r="S46" s="7">
        <f t="shared" si="2"/>
        <v>-3.3702083869307828</v>
      </c>
      <c r="T46" s="5">
        <f t="shared" si="3"/>
        <v>5</v>
      </c>
      <c r="U46" s="5">
        <v>0</v>
      </c>
      <c r="V46" s="5">
        <v>5</v>
      </c>
      <c r="W46" s="5">
        <v>0</v>
      </c>
      <c r="X46" s="5">
        <v>5</v>
      </c>
      <c r="Y46" s="5">
        <v>10</v>
      </c>
      <c r="Z46" s="5">
        <f t="shared" si="4"/>
        <v>115</v>
      </c>
      <c r="AA46" s="9">
        <f t="shared" si="5"/>
        <v>1.62</v>
      </c>
      <c r="AB46" s="176" t="s">
        <v>106</v>
      </c>
      <c r="AC46" s="161"/>
      <c r="AD46" s="161"/>
      <c r="AE46" s="161"/>
      <c r="AF46" s="161"/>
      <c r="AG46" s="161"/>
      <c r="AH46" s="161"/>
      <c r="AI46" s="161"/>
      <c r="AJ46" s="161"/>
      <c r="AK46" s="161"/>
    </row>
    <row r="47" spans="1:37" ht="38.25" x14ac:dyDescent="0.25">
      <c r="A47" s="171">
        <v>33</v>
      </c>
      <c r="B47" s="172" t="s">
        <v>278</v>
      </c>
      <c r="C47" s="4"/>
      <c r="D47" s="4"/>
      <c r="E47" s="4"/>
      <c r="F47" s="4"/>
      <c r="G47" s="5">
        <v>335</v>
      </c>
      <c r="H47" s="6">
        <v>0</v>
      </c>
      <c r="I47" s="6">
        <v>0</v>
      </c>
      <c r="J47" s="6">
        <v>0</v>
      </c>
      <c r="K47" s="6">
        <v>0</v>
      </c>
      <c r="L47" s="8">
        <v>19612.330000000002</v>
      </c>
      <c r="M47" s="4">
        <v>5618.48</v>
      </c>
      <c r="N47" s="8">
        <v>4664.62</v>
      </c>
      <c r="O47" s="8">
        <f t="shared" si="0"/>
        <v>20.448825413431312</v>
      </c>
      <c r="P47" s="4">
        <f t="shared" si="1"/>
        <v>10</v>
      </c>
      <c r="Q47" s="4">
        <v>191.81</v>
      </c>
      <c r="R47" s="4">
        <v>193.65</v>
      </c>
      <c r="S47" s="7">
        <f t="shared" si="2"/>
        <v>0.95928262342943704</v>
      </c>
      <c r="T47" s="5">
        <f t="shared" si="3"/>
        <v>5</v>
      </c>
      <c r="U47" s="5">
        <v>5</v>
      </c>
      <c r="V47" s="5">
        <v>5</v>
      </c>
      <c r="W47" s="5">
        <v>0</v>
      </c>
      <c r="X47" s="5">
        <v>5</v>
      </c>
      <c r="Y47" s="5">
        <v>10</v>
      </c>
      <c r="Z47" s="5">
        <f t="shared" si="4"/>
        <v>113.75</v>
      </c>
      <c r="AA47" s="9">
        <f t="shared" si="5"/>
        <v>1.6</v>
      </c>
      <c r="AB47" s="176" t="s">
        <v>106</v>
      </c>
      <c r="AC47" s="161"/>
      <c r="AD47" s="161"/>
      <c r="AE47" s="161"/>
      <c r="AF47" s="161"/>
      <c r="AG47" s="161"/>
      <c r="AH47" s="161"/>
      <c r="AI47" s="161"/>
      <c r="AJ47" s="161"/>
      <c r="AK47" s="161"/>
    </row>
    <row r="48" spans="1:37" ht="38.25" x14ac:dyDescent="0.25">
      <c r="A48" s="171">
        <v>34</v>
      </c>
      <c r="B48" s="172" t="s">
        <v>279</v>
      </c>
      <c r="C48" s="4"/>
      <c r="D48" s="4"/>
      <c r="E48" s="4"/>
      <c r="F48" s="4"/>
      <c r="G48" s="5">
        <v>335</v>
      </c>
      <c r="H48" s="6">
        <v>0</v>
      </c>
      <c r="I48" s="6">
        <v>0</v>
      </c>
      <c r="J48" s="6">
        <v>0</v>
      </c>
      <c r="K48" s="6">
        <v>0</v>
      </c>
      <c r="L48" s="8">
        <v>40906.089999999997</v>
      </c>
      <c r="M48" s="4">
        <v>12412.84</v>
      </c>
      <c r="N48" s="8">
        <v>9497.75</v>
      </c>
      <c r="O48" s="8">
        <f t="shared" si="0"/>
        <v>30.692427153799585</v>
      </c>
      <c r="P48" s="4">
        <f t="shared" si="1"/>
        <v>0</v>
      </c>
      <c r="Q48" s="4">
        <v>378.62</v>
      </c>
      <c r="R48" s="4">
        <v>150.27000000000001</v>
      </c>
      <c r="S48" s="7">
        <f t="shared" si="2"/>
        <v>-60.311129892768477</v>
      </c>
      <c r="T48" s="5">
        <f t="shared" si="3"/>
        <v>5</v>
      </c>
      <c r="U48" s="5">
        <v>0</v>
      </c>
      <c r="V48" s="5">
        <v>5</v>
      </c>
      <c r="W48" s="5">
        <v>0</v>
      </c>
      <c r="X48" s="5">
        <v>5</v>
      </c>
      <c r="Y48" s="5">
        <v>10</v>
      </c>
      <c r="Z48" s="5">
        <f t="shared" si="4"/>
        <v>108.75</v>
      </c>
      <c r="AA48" s="9">
        <f t="shared" si="5"/>
        <v>1.53</v>
      </c>
      <c r="AB48" s="176" t="s">
        <v>108</v>
      </c>
      <c r="AC48" s="161"/>
      <c r="AD48" s="161"/>
      <c r="AE48" s="161"/>
      <c r="AF48" s="161"/>
      <c r="AG48" s="161"/>
      <c r="AH48" s="161"/>
      <c r="AI48" s="161"/>
      <c r="AJ48" s="161"/>
      <c r="AK48" s="161"/>
    </row>
    <row r="49" spans="1:37" ht="38.25" x14ac:dyDescent="0.25">
      <c r="A49" s="171">
        <v>35</v>
      </c>
      <c r="B49" s="172" t="s">
        <v>280</v>
      </c>
      <c r="C49" s="4"/>
      <c r="D49" s="4"/>
      <c r="E49" s="4"/>
      <c r="F49" s="4"/>
      <c r="G49" s="5">
        <v>335</v>
      </c>
      <c r="H49" s="6">
        <v>0</v>
      </c>
      <c r="I49" s="6">
        <v>0</v>
      </c>
      <c r="J49" s="6">
        <v>0</v>
      </c>
      <c r="K49" s="6">
        <v>0</v>
      </c>
      <c r="L49" s="8">
        <v>53713.120000000003</v>
      </c>
      <c r="M49" s="4">
        <v>18386.02</v>
      </c>
      <c r="N49" s="8">
        <v>11775.7</v>
      </c>
      <c r="O49" s="8">
        <f t="shared" si="0"/>
        <v>56.135261598036628</v>
      </c>
      <c r="P49" s="4">
        <f t="shared" si="1"/>
        <v>0</v>
      </c>
      <c r="Q49" s="4">
        <v>405.4</v>
      </c>
      <c r="R49" s="4">
        <v>752.94</v>
      </c>
      <c r="S49" s="7">
        <f t="shared" si="2"/>
        <v>85.727676369018283</v>
      </c>
      <c r="T49" s="5">
        <f t="shared" si="3"/>
        <v>0</v>
      </c>
      <c r="U49" s="5">
        <v>0</v>
      </c>
      <c r="V49" s="5">
        <v>5</v>
      </c>
      <c r="W49" s="5">
        <v>0</v>
      </c>
      <c r="X49" s="5">
        <v>5</v>
      </c>
      <c r="Y49" s="5">
        <v>10</v>
      </c>
      <c r="Z49" s="5">
        <f t="shared" si="4"/>
        <v>103.75</v>
      </c>
      <c r="AA49" s="9">
        <f t="shared" si="5"/>
        <v>1.46</v>
      </c>
      <c r="AB49" s="176" t="s">
        <v>108</v>
      </c>
      <c r="AC49" s="161"/>
      <c r="AD49" s="161"/>
      <c r="AE49" s="161"/>
      <c r="AF49" s="161"/>
      <c r="AG49" s="161"/>
      <c r="AH49" s="161"/>
      <c r="AI49" s="161"/>
      <c r="AJ49" s="161"/>
      <c r="AK49" s="161"/>
    </row>
    <row r="50" spans="1:37" ht="38.25" x14ac:dyDescent="0.25">
      <c r="A50" s="171">
        <v>36</v>
      </c>
      <c r="B50" s="172" t="s">
        <v>281</v>
      </c>
      <c r="C50" s="4"/>
      <c r="D50" s="4"/>
      <c r="E50" s="4"/>
      <c r="F50" s="4"/>
      <c r="G50" s="5">
        <v>295</v>
      </c>
      <c r="H50" s="6">
        <v>0</v>
      </c>
      <c r="I50" s="6">
        <v>0</v>
      </c>
      <c r="J50" s="6">
        <v>20</v>
      </c>
      <c r="K50" s="6">
        <v>0</v>
      </c>
      <c r="L50" s="8">
        <v>50131.67</v>
      </c>
      <c r="M50" s="4">
        <v>15381.52</v>
      </c>
      <c r="N50" s="8">
        <v>11583.38</v>
      </c>
      <c r="O50" s="8">
        <f t="shared" si="0"/>
        <v>32.789565739879045</v>
      </c>
      <c r="P50" s="4">
        <f t="shared" si="1"/>
        <v>0</v>
      </c>
      <c r="Q50" s="4">
        <v>923.55</v>
      </c>
      <c r="R50" s="4">
        <v>910.11</v>
      </c>
      <c r="S50" s="7">
        <f t="shared" si="2"/>
        <v>-1.4552541822316001</v>
      </c>
      <c r="T50" s="5">
        <f t="shared" si="3"/>
        <v>5</v>
      </c>
      <c r="U50" s="5">
        <v>0</v>
      </c>
      <c r="V50" s="5">
        <v>5</v>
      </c>
      <c r="W50" s="5">
        <v>0</v>
      </c>
      <c r="X50" s="5">
        <v>5</v>
      </c>
      <c r="Y50" s="5">
        <v>10</v>
      </c>
      <c r="Z50" s="5">
        <f t="shared" si="4"/>
        <v>78.75</v>
      </c>
      <c r="AA50" s="9">
        <f t="shared" si="5"/>
        <v>1.1100000000000001</v>
      </c>
      <c r="AB50" s="176" t="s">
        <v>107</v>
      </c>
      <c r="AC50" s="161"/>
      <c r="AD50" s="161"/>
      <c r="AE50" s="161"/>
      <c r="AF50" s="161"/>
      <c r="AG50" s="161"/>
      <c r="AH50" s="161"/>
      <c r="AI50" s="161"/>
      <c r="AJ50" s="161"/>
      <c r="AK50" s="161"/>
    </row>
    <row r="51" spans="1:37" ht="38.25" x14ac:dyDescent="0.25">
      <c r="A51" s="171">
        <v>37</v>
      </c>
      <c r="B51" s="172" t="s">
        <v>282</v>
      </c>
      <c r="C51" s="4"/>
      <c r="D51" s="4"/>
      <c r="E51" s="4"/>
      <c r="F51" s="4"/>
      <c r="G51" s="5">
        <v>365</v>
      </c>
      <c r="H51" s="6">
        <v>0</v>
      </c>
      <c r="I51" s="6">
        <v>0</v>
      </c>
      <c r="J51" s="6">
        <v>0</v>
      </c>
      <c r="K51" s="6">
        <v>0</v>
      </c>
      <c r="L51" s="8">
        <v>17306.37</v>
      </c>
      <c r="M51" s="4">
        <v>5596.09</v>
      </c>
      <c r="N51" s="8">
        <v>3903.43</v>
      </c>
      <c r="O51" s="8">
        <f t="shared" si="0"/>
        <v>43.363400906382346</v>
      </c>
      <c r="P51" s="4">
        <f t="shared" si="1"/>
        <v>0</v>
      </c>
      <c r="Q51" s="4">
        <v>10.41</v>
      </c>
      <c r="R51" s="4">
        <v>7.67</v>
      </c>
      <c r="S51" s="7">
        <f t="shared" si="2"/>
        <v>-26.320845341018252</v>
      </c>
      <c r="T51" s="5">
        <f t="shared" si="3"/>
        <v>5</v>
      </c>
      <c r="U51" s="5">
        <v>0</v>
      </c>
      <c r="V51" s="5">
        <v>5</v>
      </c>
      <c r="W51" s="5">
        <v>0</v>
      </c>
      <c r="X51" s="5">
        <v>5</v>
      </c>
      <c r="Y51" s="5">
        <v>10</v>
      </c>
      <c r="Z51" s="5">
        <f t="shared" si="4"/>
        <v>116.25</v>
      </c>
      <c r="AA51" s="9">
        <f t="shared" si="5"/>
        <v>1.64</v>
      </c>
      <c r="AB51" s="176" t="s">
        <v>106</v>
      </c>
      <c r="AC51" s="161"/>
      <c r="AD51" s="161"/>
      <c r="AE51" s="161"/>
      <c r="AF51" s="161"/>
      <c r="AG51" s="161"/>
      <c r="AH51" s="161"/>
      <c r="AI51" s="161"/>
      <c r="AJ51" s="161"/>
      <c r="AK51" s="161"/>
    </row>
    <row r="52" spans="1:37" ht="51" x14ac:dyDescent="0.25">
      <c r="A52" s="171">
        <v>38</v>
      </c>
      <c r="B52" s="173" t="s">
        <v>283</v>
      </c>
      <c r="C52" s="4"/>
      <c r="D52" s="4"/>
      <c r="E52" s="4"/>
      <c r="F52" s="4"/>
      <c r="G52" s="5">
        <v>325</v>
      </c>
      <c r="H52" s="6">
        <v>0</v>
      </c>
      <c r="I52" s="6">
        <v>0</v>
      </c>
      <c r="J52" s="6">
        <v>0</v>
      </c>
      <c r="K52" s="6">
        <v>0</v>
      </c>
      <c r="L52" s="8">
        <v>43723.76</v>
      </c>
      <c r="M52" s="4">
        <v>13460.51</v>
      </c>
      <c r="N52" s="8">
        <v>10087.75</v>
      </c>
      <c r="O52" s="8">
        <f t="shared" si="0"/>
        <v>33.434214765433325</v>
      </c>
      <c r="P52" s="4">
        <f t="shared" si="1"/>
        <v>0</v>
      </c>
      <c r="Q52" s="4">
        <v>674.08</v>
      </c>
      <c r="R52" s="4">
        <v>700.09</v>
      </c>
      <c r="S52" s="7">
        <f t="shared" si="2"/>
        <v>3.8585924519344865</v>
      </c>
      <c r="T52" s="5">
        <f t="shared" si="3"/>
        <v>0</v>
      </c>
      <c r="U52" s="5">
        <v>0</v>
      </c>
      <c r="V52" s="5">
        <v>5</v>
      </c>
      <c r="W52" s="5">
        <v>0</v>
      </c>
      <c r="X52" s="5">
        <v>5</v>
      </c>
      <c r="Y52" s="5">
        <v>10</v>
      </c>
      <c r="Z52" s="5">
        <f t="shared" si="4"/>
        <v>101.25</v>
      </c>
      <c r="AA52" s="9">
        <f t="shared" si="5"/>
        <v>1.43</v>
      </c>
      <c r="AB52" s="176" t="s">
        <v>108</v>
      </c>
      <c r="AC52" s="161"/>
      <c r="AD52" s="161"/>
      <c r="AE52" s="161"/>
      <c r="AF52" s="161"/>
      <c r="AG52" s="161"/>
      <c r="AH52" s="161"/>
      <c r="AI52" s="161"/>
      <c r="AJ52" s="161"/>
      <c r="AK52" s="161"/>
    </row>
    <row r="53" spans="1:37" ht="38.25" x14ac:dyDescent="0.25">
      <c r="A53" s="171">
        <v>39</v>
      </c>
      <c r="B53" s="172" t="s">
        <v>284</v>
      </c>
      <c r="C53" s="4"/>
      <c r="D53" s="4"/>
      <c r="E53" s="4"/>
      <c r="F53" s="4"/>
      <c r="G53" s="5">
        <v>310</v>
      </c>
      <c r="H53" s="6">
        <v>0</v>
      </c>
      <c r="I53" s="6">
        <v>0</v>
      </c>
      <c r="J53" s="6">
        <v>10</v>
      </c>
      <c r="K53" s="6">
        <v>0</v>
      </c>
      <c r="L53" s="8">
        <v>22500.52</v>
      </c>
      <c r="M53" s="4">
        <v>6722.47</v>
      </c>
      <c r="N53" s="8">
        <v>5259.35</v>
      </c>
      <c r="O53" s="8">
        <f t="shared" si="0"/>
        <v>27.819407341211363</v>
      </c>
      <c r="P53" s="4">
        <f t="shared" si="1"/>
        <v>0</v>
      </c>
      <c r="Q53" s="4">
        <v>280</v>
      </c>
      <c r="R53" s="4">
        <v>273.8</v>
      </c>
      <c r="S53" s="7">
        <f t="shared" si="2"/>
        <v>-2.2142857142857104</v>
      </c>
      <c r="T53" s="5">
        <f t="shared" si="3"/>
        <v>5</v>
      </c>
      <c r="U53" s="5">
        <v>0</v>
      </c>
      <c r="V53" s="5">
        <v>5</v>
      </c>
      <c r="W53" s="5">
        <v>0</v>
      </c>
      <c r="X53" s="5">
        <v>5</v>
      </c>
      <c r="Y53" s="5">
        <v>10</v>
      </c>
      <c r="Z53" s="5">
        <f t="shared" si="4"/>
        <v>92.5</v>
      </c>
      <c r="AA53" s="9">
        <f t="shared" si="5"/>
        <v>1.3</v>
      </c>
      <c r="AB53" s="176" t="s">
        <v>108</v>
      </c>
      <c r="AC53" s="161"/>
      <c r="AD53" s="161"/>
      <c r="AE53" s="161"/>
      <c r="AF53" s="161"/>
      <c r="AG53" s="161"/>
      <c r="AH53" s="161"/>
      <c r="AI53" s="161"/>
      <c r="AJ53" s="161"/>
      <c r="AK53" s="161"/>
    </row>
    <row r="54" spans="1:37" ht="38.25" x14ac:dyDescent="0.25">
      <c r="A54" s="171">
        <v>40</v>
      </c>
      <c r="B54" s="172" t="s">
        <v>285</v>
      </c>
      <c r="C54" s="4"/>
      <c r="D54" s="4"/>
      <c r="E54" s="4"/>
      <c r="F54" s="4"/>
      <c r="G54" s="5">
        <v>335</v>
      </c>
      <c r="H54" s="6">
        <v>0</v>
      </c>
      <c r="I54" s="6">
        <v>0</v>
      </c>
      <c r="J54" s="6">
        <v>0</v>
      </c>
      <c r="K54" s="6">
        <v>0</v>
      </c>
      <c r="L54" s="8">
        <v>20027.28</v>
      </c>
      <c r="M54" s="4">
        <v>5355.06</v>
      </c>
      <c r="N54" s="8">
        <v>4890.74</v>
      </c>
      <c r="O54" s="8">
        <f t="shared" si="0"/>
        <v>9.4938598248935868</v>
      </c>
      <c r="P54" s="4">
        <f t="shared" si="1"/>
        <v>10</v>
      </c>
      <c r="Q54" s="4">
        <v>0</v>
      </c>
      <c r="R54" s="4">
        <v>0</v>
      </c>
      <c r="S54" s="7">
        <v>0</v>
      </c>
      <c r="T54" s="5">
        <f t="shared" si="3"/>
        <v>5</v>
      </c>
      <c r="U54" s="5">
        <v>0</v>
      </c>
      <c r="V54" s="5">
        <v>5</v>
      </c>
      <c r="W54" s="5">
        <v>0</v>
      </c>
      <c r="X54" s="5">
        <v>5</v>
      </c>
      <c r="Y54" s="5">
        <v>10</v>
      </c>
      <c r="Z54" s="5">
        <f t="shared" si="4"/>
        <v>118.75</v>
      </c>
      <c r="AA54" s="9">
        <f t="shared" si="5"/>
        <v>1.67</v>
      </c>
      <c r="AB54" s="176" t="s">
        <v>106</v>
      </c>
      <c r="AC54" s="161"/>
      <c r="AD54" s="161"/>
      <c r="AE54" s="161"/>
      <c r="AF54" s="161"/>
      <c r="AG54" s="161"/>
      <c r="AH54" s="161"/>
      <c r="AI54" s="161"/>
      <c r="AJ54" s="161"/>
      <c r="AK54" s="161"/>
    </row>
    <row r="55" spans="1:37" ht="38.25" x14ac:dyDescent="0.25">
      <c r="A55" s="171">
        <v>41</v>
      </c>
      <c r="B55" s="173" t="s">
        <v>286</v>
      </c>
      <c r="C55" s="4"/>
      <c r="D55" s="4"/>
      <c r="E55" s="4"/>
      <c r="F55" s="4"/>
      <c r="G55" s="5">
        <v>305</v>
      </c>
      <c r="H55" s="6">
        <v>0</v>
      </c>
      <c r="I55" s="6">
        <v>0</v>
      </c>
      <c r="J55" s="6">
        <v>10</v>
      </c>
      <c r="K55" s="6">
        <v>0</v>
      </c>
      <c r="L55" s="8">
        <v>22135.11</v>
      </c>
      <c r="M55" s="4">
        <v>7866.2</v>
      </c>
      <c r="N55" s="8">
        <v>4756.3</v>
      </c>
      <c r="O55" s="8">
        <f t="shared" si="0"/>
        <v>65.3848579778399</v>
      </c>
      <c r="P55" s="4">
        <f t="shared" si="1"/>
        <v>0</v>
      </c>
      <c r="Q55" s="4">
        <v>531.44000000000005</v>
      </c>
      <c r="R55" s="4">
        <v>406.93</v>
      </c>
      <c r="S55" s="7">
        <f t="shared" si="2"/>
        <v>-23.428797230167099</v>
      </c>
      <c r="T55" s="5">
        <f t="shared" si="3"/>
        <v>5</v>
      </c>
      <c r="U55" s="5">
        <v>0</v>
      </c>
      <c r="V55" s="5">
        <v>5</v>
      </c>
      <c r="W55" s="5">
        <v>0</v>
      </c>
      <c r="X55" s="5">
        <v>5</v>
      </c>
      <c r="Y55" s="5">
        <v>10</v>
      </c>
      <c r="Z55" s="5">
        <f t="shared" si="4"/>
        <v>91.25</v>
      </c>
      <c r="AA55" s="9">
        <f t="shared" si="5"/>
        <v>1.29</v>
      </c>
      <c r="AB55" s="176" t="s">
        <v>108</v>
      </c>
      <c r="AC55" s="161"/>
      <c r="AD55" s="161"/>
      <c r="AE55" s="161"/>
      <c r="AF55" s="161"/>
      <c r="AG55" s="161"/>
      <c r="AH55" s="161"/>
      <c r="AI55" s="161"/>
      <c r="AJ55" s="161"/>
      <c r="AK55" s="161"/>
    </row>
    <row r="56" spans="1:37" ht="38.25" x14ac:dyDescent="0.25">
      <c r="A56" s="171">
        <v>42</v>
      </c>
      <c r="B56" s="172" t="s">
        <v>287</v>
      </c>
      <c r="C56" s="4"/>
      <c r="D56" s="4"/>
      <c r="E56" s="4"/>
      <c r="F56" s="4"/>
      <c r="G56" s="5">
        <v>330</v>
      </c>
      <c r="H56" s="6">
        <v>0</v>
      </c>
      <c r="I56" s="6">
        <v>0</v>
      </c>
      <c r="J56" s="6">
        <v>10</v>
      </c>
      <c r="K56" s="6">
        <v>0</v>
      </c>
      <c r="L56" s="8">
        <v>22861.31</v>
      </c>
      <c r="M56" s="4">
        <v>6883.46</v>
      </c>
      <c r="N56" s="8">
        <v>5325.95</v>
      </c>
      <c r="O56" s="8">
        <f t="shared" si="0"/>
        <v>29.243796881307567</v>
      </c>
      <c r="P56" s="4">
        <f t="shared" si="1"/>
        <v>0</v>
      </c>
      <c r="Q56" s="4">
        <v>29.38</v>
      </c>
      <c r="R56" s="4">
        <v>29.31</v>
      </c>
      <c r="S56" s="7">
        <f t="shared" si="2"/>
        <v>-0.23825731790333657</v>
      </c>
      <c r="T56" s="5">
        <f t="shared" si="3"/>
        <v>5</v>
      </c>
      <c r="U56" s="5">
        <v>0</v>
      </c>
      <c r="V56" s="5">
        <v>5</v>
      </c>
      <c r="W56" s="5">
        <v>0</v>
      </c>
      <c r="X56" s="5">
        <v>5</v>
      </c>
      <c r="Y56" s="5">
        <v>10</v>
      </c>
      <c r="Z56" s="5">
        <f t="shared" si="4"/>
        <v>97.5</v>
      </c>
      <c r="AA56" s="9">
        <f t="shared" si="5"/>
        <v>1.37</v>
      </c>
      <c r="AB56" s="176" t="s">
        <v>108</v>
      </c>
      <c r="AC56" s="161"/>
      <c r="AD56" s="161"/>
      <c r="AE56" s="161"/>
      <c r="AF56" s="161"/>
      <c r="AG56" s="161"/>
      <c r="AH56" s="161"/>
      <c r="AI56" s="161"/>
      <c r="AJ56" s="161"/>
      <c r="AK56" s="161"/>
    </row>
    <row r="57" spans="1:37" ht="38.25" x14ac:dyDescent="0.25">
      <c r="A57" s="171">
        <v>43</v>
      </c>
      <c r="B57" s="172" t="s">
        <v>288</v>
      </c>
      <c r="C57" s="4"/>
      <c r="D57" s="4"/>
      <c r="E57" s="4"/>
      <c r="F57" s="4"/>
      <c r="G57" s="5">
        <v>255</v>
      </c>
      <c r="H57" s="6">
        <v>10</v>
      </c>
      <c r="I57" s="6">
        <v>0</v>
      </c>
      <c r="J57" s="6">
        <v>10</v>
      </c>
      <c r="K57" s="6">
        <v>0</v>
      </c>
      <c r="L57" s="8">
        <v>24777.88</v>
      </c>
      <c r="M57" s="4">
        <v>8405</v>
      </c>
      <c r="N57" s="8">
        <v>5457.63</v>
      </c>
      <c r="O57" s="8">
        <f t="shared" si="0"/>
        <v>54.004577078328872</v>
      </c>
      <c r="P57" s="4">
        <f t="shared" si="1"/>
        <v>0</v>
      </c>
      <c r="Q57" s="4">
        <v>292.45999999999998</v>
      </c>
      <c r="R57" s="4">
        <v>400.35</v>
      </c>
      <c r="S57" s="7">
        <f t="shared" si="2"/>
        <v>36.890514942214338</v>
      </c>
      <c r="T57" s="5">
        <f t="shared" si="3"/>
        <v>0</v>
      </c>
      <c r="U57" s="5">
        <v>0</v>
      </c>
      <c r="V57" s="5">
        <v>5</v>
      </c>
      <c r="W57" s="5">
        <v>0</v>
      </c>
      <c r="X57" s="5">
        <v>5</v>
      </c>
      <c r="Y57" s="5">
        <v>0</v>
      </c>
      <c r="Z57" s="5">
        <f t="shared" si="4"/>
        <v>53.75</v>
      </c>
      <c r="AA57" s="9">
        <f t="shared" si="5"/>
        <v>0.76</v>
      </c>
      <c r="AB57" s="176" t="s">
        <v>104</v>
      </c>
      <c r="AC57" s="161"/>
      <c r="AD57" s="161"/>
      <c r="AE57" s="161"/>
      <c r="AF57" s="161"/>
      <c r="AG57" s="161"/>
      <c r="AH57" s="161"/>
      <c r="AI57" s="161"/>
      <c r="AJ57" s="161"/>
      <c r="AK57" s="161"/>
    </row>
    <row r="58" spans="1:37" ht="51" x14ac:dyDescent="0.25">
      <c r="A58" s="171">
        <v>44</v>
      </c>
      <c r="B58" s="172" t="s">
        <v>289</v>
      </c>
      <c r="C58" s="4"/>
      <c r="D58" s="4"/>
      <c r="E58" s="4"/>
      <c r="F58" s="4"/>
      <c r="G58" s="5">
        <v>150</v>
      </c>
      <c r="H58" s="6">
        <v>0</v>
      </c>
      <c r="I58" s="6">
        <v>0</v>
      </c>
      <c r="J58" s="6">
        <v>10</v>
      </c>
      <c r="K58" s="6">
        <v>0</v>
      </c>
      <c r="L58" s="8">
        <v>18124.939999999999</v>
      </c>
      <c r="M58" s="4">
        <v>6562.84</v>
      </c>
      <c r="N58" s="8">
        <v>3854.03</v>
      </c>
      <c r="O58" s="8">
        <f t="shared" si="0"/>
        <v>70.285130110559592</v>
      </c>
      <c r="P58" s="4">
        <f t="shared" si="1"/>
        <v>0</v>
      </c>
      <c r="Q58" s="4">
        <v>251.72</v>
      </c>
      <c r="R58" s="4">
        <v>234.94</v>
      </c>
      <c r="S58" s="7">
        <f t="shared" si="2"/>
        <v>-6.666136977594153</v>
      </c>
      <c r="T58" s="5">
        <f t="shared" si="3"/>
        <v>5</v>
      </c>
      <c r="U58" s="5">
        <v>0</v>
      </c>
      <c r="V58" s="5">
        <v>-5</v>
      </c>
      <c r="W58" s="5">
        <v>0</v>
      </c>
      <c r="X58" s="5">
        <v>5</v>
      </c>
      <c r="Y58" s="5">
        <v>10</v>
      </c>
      <c r="Z58" s="5">
        <f t="shared" si="4"/>
        <v>42.5</v>
      </c>
      <c r="AA58" s="9">
        <f t="shared" si="5"/>
        <v>0.6</v>
      </c>
      <c r="AB58" s="176" t="s">
        <v>105</v>
      </c>
      <c r="AC58" s="161"/>
      <c r="AD58" s="161"/>
      <c r="AE58" s="161"/>
      <c r="AF58" s="161"/>
      <c r="AG58" s="161"/>
      <c r="AH58" s="161"/>
      <c r="AI58" s="161"/>
      <c r="AJ58" s="161"/>
      <c r="AK58" s="161"/>
    </row>
    <row r="59" spans="1:37" ht="38.25" x14ac:dyDescent="0.25">
      <c r="A59" s="171">
        <v>45</v>
      </c>
      <c r="B59" s="172" t="s">
        <v>290</v>
      </c>
      <c r="C59" s="4"/>
      <c r="D59" s="4"/>
      <c r="E59" s="4"/>
      <c r="F59" s="4"/>
      <c r="G59" s="5">
        <v>315</v>
      </c>
      <c r="H59" s="6">
        <v>0</v>
      </c>
      <c r="I59" s="6">
        <v>0</v>
      </c>
      <c r="J59" s="6">
        <v>0</v>
      </c>
      <c r="K59" s="6">
        <v>0</v>
      </c>
      <c r="L59" s="8">
        <v>12709.24</v>
      </c>
      <c r="M59" s="4">
        <v>3840</v>
      </c>
      <c r="N59" s="8">
        <v>2956.42</v>
      </c>
      <c r="O59" s="8">
        <f t="shared" si="0"/>
        <v>29.886822575953349</v>
      </c>
      <c r="P59" s="4">
        <f t="shared" si="1"/>
        <v>0</v>
      </c>
      <c r="Q59" s="4">
        <v>46.92</v>
      </c>
      <c r="R59" s="4">
        <v>80.73</v>
      </c>
      <c r="S59" s="7">
        <f t="shared" si="2"/>
        <v>72.058823529411768</v>
      </c>
      <c r="T59" s="5">
        <f t="shared" si="3"/>
        <v>0</v>
      </c>
      <c r="U59" s="5">
        <v>0</v>
      </c>
      <c r="V59" s="5">
        <v>5</v>
      </c>
      <c r="W59" s="5">
        <v>0</v>
      </c>
      <c r="X59" s="5">
        <v>5</v>
      </c>
      <c r="Y59" s="5">
        <v>10</v>
      </c>
      <c r="Z59" s="5">
        <f t="shared" si="4"/>
        <v>98.75</v>
      </c>
      <c r="AA59" s="9">
        <f t="shared" si="5"/>
        <v>1.39</v>
      </c>
      <c r="AB59" s="176" t="s">
        <v>108</v>
      </c>
      <c r="AC59" s="161"/>
      <c r="AD59" s="161"/>
      <c r="AE59" s="161"/>
      <c r="AF59" s="161"/>
      <c r="AG59" s="161"/>
      <c r="AH59" s="161"/>
      <c r="AI59" s="161"/>
      <c r="AJ59" s="161"/>
      <c r="AK59" s="161"/>
    </row>
    <row r="60" spans="1:37" ht="38.25" x14ac:dyDescent="0.25">
      <c r="A60" s="171">
        <v>46</v>
      </c>
      <c r="B60" s="172" t="s">
        <v>291</v>
      </c>
      <c r="C60" s="4"/>
      <c r="D60" s="4"/>
      <c r="E60" s="4"/>
      <c r="F60" s="4"/>
      <c r="G60" s="5">
        <v>365</v>
      </c>
      <c r="H60" s="6">
        <v>0</v>
      </c>
      <c r="I60" s="6">
        <v>0</v>
      </c>
      <c r="J60" s="6">
        <v>0</v>
      </c>
      <c r="K60" s="6">
        <v>0</v>
      </c>
      <c r="L60" s="8">
        <v>13753.27</v>
      </c>
      <c r="M60" s="4">
        <v>4744.42</v>
      </c>
      <c r="N60" s="8">
        <v>3002.95</v>
      </c>
      <c r="O60" s="8">
        <f t="shared" si="0"/>
        <v>57.991974558350968</v>
      </c>
      <c r="P60" s="4">
        <f t="shared" si="1"/>
        <v>0</v>
      </c>
      <c r="Q60" s="4">
        <v>92.36</v>
      </c>
      <c r="R60" s="4">
        <v>73.62</v>
      </c>
      <c r="S60" s="7">
        <f t="shared" si="2"/>
        <v>-20.290168904287565</v>
      </c>
      <c r="T60" s="5">
        <f t="shared" si="3"/>
        <v>5</v>
      </c>
      <c r="U60" s="5">
        <v>0</v>
      </c>
      <c r="V60" s="5">
        <v>5</v>
      </c>
      <c r="W60" s="5">
        <v>20</v>
      </c>
      <c r="X60" s="5">
        <v>5</v>
      </c>
      <c r="Y60" s="5">
        <v>10</v>
      </c>
      <c r="Z60" s="5">
        <f t="shared" si="4"/>
        <v>96.25</v>
      </c>
      <c r="AA60" s="9">
        <f t="shared" si="5"/>
        <v>1.36</v>
      </c>
      <c r="AB60" s="176" t="s">
        <v>108</v>
      </c>
      <c r="AC60" s="161"/>
      <c r="AD60" s="161"/>
      <c r="AE60" s="161"/>
      <c r="AF60" s="161"/>
      <c r="AG60" s="161"/>
      <c r="AH60" s="161"/>
      <c r="AI60" s="161"/>
      <c r="AJ60" s="161"/>
      <c r="AK60" s="161"/>
    </row>
    <row r="61" spans="1:37" ht="38.25" x14ac:dyDescent="0.25">
      <c r="A61" s="171">
        <v>47</v>
      </c>
      <c r="B61" s="172" t="s">
        <v>292</v>
      </c>
      <c r="C61" s="4"/>
      <c r="D61" s="4"/>
      <c r="E61" s="4"/>
      <c r="F61" s="4"/>
      <c r="G61" s="5">
        <v>340</v>
      </c>
      <c r="H61" s="6">
        <v>0</v>
      </c>
      <c r="I61" s="6">
        <v>0</v>
      </c>
      <c r="J61" s="6">
        <v>0</v>
      </c>
      <c r="K61" s="6">
        <v>0</v>
      </c>
      <c r="L61" s="8">
        <v>45699.47</v>
      </c>
      <c r="M61" s="4">
        <v>13412.34</v>
      </c>
      <c r="N61" s="8">
        <v>10762.38</v>
      </c>
      <c r="O61" s="8">
        <f t="shared" si="0"/>
        <v>24.622434814604219</v>
      </c>
      <c r="P61" s="4">
        <f t="shared" si="1"/>
        <v>10</v>
      </c>
      <c r="Q61" s="4">
        <v>905.43</v>
      </c>
      <c r="R61" s="4">
        <v>595.84</v>
      </c>
      <c r="S61" s="7">
        <f t="shared" si="2"/>
        <v>-34.192593574323794</v>
      </c>
      <c r="T61" s="5">
        <f t="shared" si="3"/>
        <v>5</v>
      </c>
      <c r="U61" s="5">
        <v>0</v>
      </c>
      <c r="V61" s="5">
        <v>5</v>
      </c>
      <c r="W61" s="5">
        <v>10</v>
      </c>
      <c r="X61" s="5">
        <v>5</v>
      </c>
      <c r="Y61" s="5">
        <v>10</v>
      </c>
      <c r="Z61" s="5">
        <f t="shared" si="4"/>
        <v>110</v>
      </c>
      <c r="AA61" s="9">
        <f t="shared" si="5"/>
        <v>1.55</v>
      </c>
      <c r="AB61" s="176" t="s">
        <v>108</v>
      </c>
      <c r="AC61" s="161"/>
      <c r="AD61" s="161"/>
      <c r="AE61" s="161"/>
      <c r="AF61" s="161"/>
      <c r="AG61" s="161"/>
      <c r="AH61" s="161"/>
      <c r="AI61" s="161"/>
      <c r="AJ61" s="161"/>
      <c r="AK61" s="161"/>
    </row>
    <row r="62" spans="1:37" ht="51" x14ac:dyDescent="0.25">
      <c r="A62" s="171">
        <v>48</v>
      </c>
      <c r="B62" s="172" t="s">
        <v>293</v>
      </c>
      <c r="C62" s="4"/>
      <c r="D62" s="4"/>
      <c r="E62" s="4"/>
      <c r="F62" s="4"/>
      <c r="G62" s="5">
        <v>330</v>
      </c>
      <c r="H62" s="6">
        <v>0</v>
      </c>
      <c r="I62" s="6">
        <v>0</v>
      </c>
      <c r="J62" s="6">
        <v>20</v>
      </c>
      <c r="K62" s="6">
        <v>0</v>
      </c>
      <c r="L62" s="8">
        <v>12079.79</v>
      </c>
      <c r="M62" s="4">
        <v>3548.09</v>
      </c>
      <c r="N62" s="8">
        <v>2843.9</v>
      </c>
      <c r="O62" s="8">
        <f t="shared" si="0"/>
        <v>24.761419177889518</v>
      </c>
      <c r="P62" s="4">
        <f t="shared" si="1"/>
        <v>10</v>
      </c>
      <c r="Q62" s="4">
        <v>0</v>
      </c>
      <c r="R62" s="4">
        <v>0</v>
      </c>
      <c r="S62" s="7">
        <v>0</v>
      </c>
      <c r="T62" s="5">
        <f t="shared" si="3"/>
        <v>5</v>
      </c>
      <c r="U62" s="5">
        <v>0</v>
      </c>
      <c r="V62" s="5">
        <v>5</v>
      </c>
      <c r="W62" s="5">
        <v>0</v>
      </c>
      <c r="X62" s="5">
        <v>5</v>
      </c>
      <c r="Y62" s="5">
        <v>10</v>
      </c>
      <c r="Z62" s="5">
        <f t="shared" si="4"/>
        <v>97.5</v>
      </c>
      <c r="AA62" s="9">
        <f t="shared" si="5"/>
        <v>1.37</v>
      </c>
      <c r="AB62" s="176" t="s">
        <v>108</v>
      </c>
      <c r="AC62" s="161"/>
      <c r="AD62" s="161"/>
      <c r="AE62" s="161"/>
      <c r="AF62" s="161"/>
      <c r="AG62" s="161"/>
      <c r="AH62" s="161"/>
      <c r="AI62" s="161"/>
      <c r="AJ62" s="161"/>
      <c r="AK62" s="161"/>
    </row>
    <row r="63" spans="1:37" ht="38.25" x14ac:dyDescent="0.25">
      <c r="A63" s="171">
        <v>49</v>
      </c>
      <c r="B63" s="172" t="s">
        <v>294</v>
      </c>
      <c r="C63" s="4"/>
      <c r="D63" s="4"/>
      <c r="E63" s="4"/>
      <c r="F63" s="4"/>
      <c r="G63" s="5">
        <v>265</v>
      </c>
      <c r="H63" s="6">
        <v>0</v>
      </c>
      <c r="I63" s="6">
        <v>0</v>
      </c>
      <c r="J63" s="6">
        <v>0</v>
      </c>
      <c r="K63" s="6">
        <v>0</v>
      </c>
      <c r="L63" s="8">
        <v>41821.25</v>
      </c>
      <c r="M63" s="4">
        <v>13039.96</v>
      </c>
      <c r="N63" s="8">
        <v>9593.76</v>
      </c>
      <c r="O63" s="8">
        <f t="shared" si="0"/>
        <v>35.921265489234656</v>
      </c>
      <c r="P63" s="4">
        <f t="shared" si="1"/>
        <v>0</v>
      </c>
      <c r="Q63" s="4">
        <v>2003.4</v>
      </c>
      <c r="R63" s="4">
        <v>2372.25</v>
      </c>
      <c r="S63" s="7">
        <f t="shared" si="2"/>
        <v>18.411200958370763</v>
      </c>
      <c r="T63" s="5">
        <f t="shared" si="3"/>
        <v>0</v>
      </c>
      <c r="U63" s="5">
        <v>0</v>
      </c>
      <c r="V63" s="5">
        <v>5</v>
      </c>
      <c r="W63" s="5">
        <v>0</v>
      </c>
      <c r="X63" s="5">
        <v>5</v>
      </c>
      <c r="Y63" s="5">
        <v>10</v>
      </c>
      <c r="Z63" s="5">
        <f t="shared" si="4"/>
        <v>86.25</v>
      </c>
      <c r="AA63" s="9">
        <f t="shared" si="5"/>
        <v>1.21</v>
      </c>
      <c r="AB63" s="176" t="s">
        <v>107</v>
      </c>
      <c r="AC63" s="161"/>
      <c r="AD63" s="161"/>
      <c r="AE63" s="161"/>
      <c r="AF63" s="161"/>
      <c r="AG63" s="161"/>
      <c r="AH63" s="161"/>
      <c r="AI63" s="161"/>
      <c r="AJ63" s="161"/>
      <c r="AK63" s="161"/>
    </row>
    <row r="64" spans="1:37" ht="38.25" x14ac:dyDescent="0.25">
      <c r="A64" s="171">
        <v>50</v>
      </c>
      <c r="B64" s="172" t="s">
        <v>295</v>
      </c>
      <c r="C64" s="4"/>
      <c r="D64" s="4"/>
      <c r="E64" s="4"/>
      <c r="F64" s="4"/>
      <c r="G64" s="5">
        <v>255</v>
      </c>
      <c r="H64" s="6">
        <v>0</v>
      </c>
      <c r="I64" s="6">
        <v>0</v>
      </c>
      <c r="J64" s="6">
        <v>0</v>
      </c>
      <c r="K64" s="6">
        <v>0</v>
      </c>
      <c r="L64" s="8">
        <v>45988.82</v>
      </c>
      <c r="M64" s="4">
        <v>15278.21</v>
      </c>
      <c r="N64" s="8">
        <v>10236.870000000001</v>
      </c>
      <c r="O64" s="8">
        <f t="shared" si="0"/>
        <v>49.246888941639369</v>
      </c>
      <c r="P64" s="4">
        <f t="shared" si="1"/>
        <v>0</v>
      </c>
      <c r="Q64" s="4">
        <v>755.07</v>
      </c>
      <c r="R64" s="4">
        <v>718.95</v>
      </c>
      <c r="S64" s="7">
        <f t="shared" si="2"/>
        <v>-4.7836624418928047</v>
      </c>
      <c r="T64" s="5">
        <f t="shared" si="3"/>
        <v>5</v>
      </c>
      <c r="U64" s="5">
        <v>0</v>
      </c>
      <c r="V64" s="5">
        <v>5</v>
      </c>
      <c r="W64" s="5">
        <v>0</v>
      </c>
      <c r="X64" s="5">
        <v>5</v>
      </c>
      <c r="Y64" s="5">
        <v>10</v>
      </c>
      <c r="Z64" s="5">
        <f t="shared" si="4"/>
        <v>88.75</v>
      </c>
      <c r="AA64" s="9">
        <f t="shared" si="5"/>
        <v>1.25</v>
      </c>
      <c r="AB64" s="176" t="s">
        <v>108</v>
      </c>
      <c r="AC64" s="161"/>
      <c r="AD64" s="161"/>
      <c r="AE64" s="161"/>
      <c r="AF64" s="161"/>
      <c r="AG64" s="161"/>
      <c r="AH64" s="161"/>
      <c r="AI64" s="161"/>
      <c r="AJ64" s="161"/>
      <c r="AK64" s="161"/>
    </row>
    <row r="65" spans="1:37" ht="38.25" x14ac:dyDescent="0.25">
      <c r="A65" s="171">
        <v>51</v>
      </c>
      <c r="B65" s="173" t="s">
        <v>296</v>
      </c>
      <c r="C65" s="4"/>
      <c r="D65" s="4"/>
      <c r="E65" s="4"/>
      <c r="F65" s="4"/>
      <c r="G65" s="5">
        <v>325</v>
      </c>
      <c r="H65" s="6">
        <v>0</v>
      </c>
      <c r="I65" s="6">
        <v>0</v>
      </c>
      <c r="J65" s="6">
        <v>20</v>
      </c>
      <c r="K65" s="6">
        <v>0</v>
      </c>
      <c r="L65" s="8">
        <v>16652.87</v>
      </c>
      <c r="M65" s="4">
        <v>5135.0600000000004</v>
      </c>
      <c r="N65" s="8">
        <v>3839.27</v>
      </c>
      <c r="O65" s="8">
        <f t="shared" si="0"/>
        <v>33.750947445738397</v>
      </c>
      <c r="P65" s="4">
        <f t="shared" si="1"/>
        <v>0</v>
      </c>
      <c r="Q65" s="4">
        <v>70.5</v>
      </c>
      <c r="R65" s="4">
        <v>69.13</v>
      </c>
      <c r="S65" s="7">
        <f t="shared" si="2"/>
        <v>-1.9432624113475243</v>
      </c>
      <c r="T65" s="5">
        <f t="shared" si="3"/>
        <v>5</v>
      </c>
      <c r="U65" s="5">
        <v>0</v>
      </c>
      <c r="V65" s="5">
        <v>5</v>
      </c>
      <c r="W65" s="5">
        <v>10</v>
      </c>
      <c r="X65" s="5">
        <v>5</v>
      </c>
      <c r="Y65" s="5">
        <v>10</v>
      </c>
      <c r="Z65" s="5">
        <f t="shared" si="4"/>
        <v>76.25</v>
      </c>
      <c r="AA65" s="9">
        <f t="shared" si="5"/>
        <v>1.07</v>
      </c>
      <c r="AB65" s="176" t="s">
        <v>107</v>
      </c>
      <c r="AC65" s="161"/>
      <c r="AD65" s="161"/>
      <c r="AE65" s="161"/>
      <c r="AF65" s="161"/>
      <c r="AG65" s="161"/>
      <c r="AH65" s="161"/>
      <c r="AI65" s="161"/>
      <c r="AJ65" s="161"/>
      <c r="AK65" s="161"/>
    </row>
    <row r="66" spans="1:37" ht="38.25" x14ac:dyDescent="0.25">
      <c r="A66" s="171">
        <v>52</v>
      </c>
      <c r="B66" s="174" t="s">
        <v>297</v>
      </c>
      <c r="C66" s="4"/>
      <c r="D66" s="4"/>
      <c r="E66" s="4"/>
      <c r="F66" s="4"/>
      <c r="G66" s="5">
        <v>330</v>
      </c>
      <c r="H66" s="6">
        <v>0</v>
      </c>
      <c r="I66" s="6">
        <v>0</v>
      </c>
      <c r="J66" s="6">
        <v>0</v>
      </c>
      <c r="K66" s="6">
        <v>0</v>
      </c>
      <c r="L66" s="8">
        <v>43690.33</v>
      </c>
      <c r="M66" s="4">
        <v>13715.38</v>
      </c>
      <c r="N66" s="8">
        <v>9991.65</v>
      </c>
      <c r="O66" s="8">
        <f t="shared" si="0"/>
        <v>37.268419129973523</v>
      </c>
      <c r="P66" s="4">
        <f t="shared" si="1"/>
        <v>0</v>
      </c>
      <c r="Q66" s="4">
        <v>118.3</v>
      </c>
      <c r="R66" s="4">
        <v>117.33</v>
      </c>
      <c r="S66" s="7">
        <f t="shared" si="2"/>
        <v>-0.81994928148774215</v>
      </c>
      <c r="T66" s="5">
        <f t="shared" si="3"/>
        <v>5</v>
      </c>
      <c r="U66" s="5">
        <v>0</v>
      </c>
      <c r="V66" s="5">
        <v>5</v>
      </c>
      <c r="W66" s="5">
        <v>10</v>
      </c>
      <c r="X66" s="5">
        <v>5</v>
      </c>
      <c r="Y66" s="5">
        <v>10</v>
      </c>
      <c r="Z66" s="5">
        <f t="shared" si="4"/>
        <v>97.5</v>
      </c>
      <c r="AA66" s="9">
        <f t="shared" si="5"/>
        <v>1.37</v>
      </c>
      <c r="AB66" s="176" t="s">
        <v>108</v>
      </c>
      <c r="AC66" s="161"/>
      <c r="AD66" s="161"/>
      <c r="AE66" s="161"/>
      <c r="AF66" s="161"/>
      <c r="AG66" s="161"/>
      <c r="AH66" s="161"/>
      <c r="AI66" s="161"/>
      <c r="AJ66" s="161"/>
      <c r="AK66" s="161"/>
    </row>
    <row r="67" spans="1:37" ht="38.25" x14ac:dyDescent="0.25">
      <c r="A67" s="171">
        <v>53</v>
      </c>
      <c r="B67" s="172" t="s">
        <v>298</v>
      </c>
      <c r="C67" s="4"/>
      <c r="D67" s="4"/>
      <c r="E67" s="4"/>
      <c r="F67" s="4"/>
      <c r="G67" s="5">
        <v>355</v>
      </c>
      <c r="H67" s="6">
        <v>0</v>
      </c>
      <c r="I67" s="6">
        <v>0</v>
      </c>
      <c r="J67" s="6">
        <v>0</v>
      </c>
      <c r="K67" s="6">
        <v>0</v>
      </c>
      <c r="L67" s="8">
        <v>20265.46</v>
      </c>
      <c r="M67" s="4">
        <v>7607.05</v>
      </c>
      <c r="N67" s="8">
        <v>4219.47</v>
      </c>
      <c r="O67" s="8">
        <f t="shared" si="0"/>
        <v>80.28449070617873</v>
      </c>
      <c r="P67" s="4">
        <f t="shared" si="1"/>
        <v>0</v>
      </c>
      <c r="Q67" s="4">
        <v>37.56</v>
      </c>
      <c r="R67" s="4">
        <v>28.24</v>
      </c>
      <c r="S67" s="7">
        <f t="shared" si="2"/>
        <v>-24.813631522896706</v>
      </c>
      <c r="T67" s="5">
        <f t="shared" si="3"/>
        <v>5</v>
      </c>
      <c r="U67" s="5">
        <v>0</v>
      </c>
      <c r="V67" s="5">
        <v>5</v>
      </c>
      <c r="W67" s="5">
        <v>0</v>
      </c>
      <c r="X67" s="5">
        <v>5</v>
      </c>
      <c r="Y67" s="5">
        <v>10</v>
      </c>
      <c r="Z67" s="5">
        <f t="shared" si="4"/>
        <v>113.75</v>
      </c>
      <c r="AA67" s="9">
        <f t="shared" si="5"/>
        <v>1.6</v>
      </c>
      <c r="AB67" s="176" t="s">
        <v>106</v>
      </c>
      <c r="AC67" s="161"/>
      <c r="AD67" s="161"/>
      <c r="AE67" s="161"/>
      <c r="AF67" s="161"/>
      <c r="AG67" s="161"/>
      <c r="AH67" s="161"/>
      <c r="AI67" s="161"/>
      <c r="AJ67" s="161"/>
      <c r="AK67" s="161"/>
    </row>
    <row r="68" spans="1:37" ht="38.25" x14ac:dyDescent="0.25">
      <c r="A68" s="171">
        <v>54</v>
      </c>
      <c r="B68" s="172" t="s">
        <v>299</v>
      </c>
      <c r="C68" s="4"/>
      <c r="D68" s="4"/>
      <c r="E68" s="4"/>
      <c r="F68" s="4"/>
      <c r="G68" s="5">
        <v>345</v>
      </c>
      <c r="H68" s="6">
        <v>0</v>
      </c>
      <c r="I68" s="6">
        <v>0</v>
      </c>
      <c r="J68" s="6">
        <v>20</v>
      </c>
      <c r="K68" s="6">
        <v>0</v>
      </c>
      <c r="L68" s="8">
        <v>86111.6</v>
      </c>
      <c r="M68" s="4">
        <v>30397.5</v>
      </c>
      <c r="N68" s="8">
        <v>18571.37</v>
      </c>
      <c r="O68" s="8">
        <f t="shared" si="0"/>
        <v>63.679362373373642</v>
      </c>
      <c r="P68" s="4">
        <f t="shared" si="1"/>
        <v>0</v>
      </c>
      <c r="Q68" s="4">
        <v>643.38</v>
      </c>
      <c r="R68" s="4">
        <v>495.24</v>
      </c>
      <c r="S68" s="7">
        <f t="shared" si="2"/>
        <v>-23.025272778140444</v>
      </c>
      <c r="T68" s="5">
        <f t="shared" si="3"/>
        <v>5</v>
      </c>
      <c r="U68" s="5">
        <v>5</v>
      </c>
      <c r="V68" s="5">
        <v>5</v>
      </c>
      <c r="W68" s="5">
        <v>10</v>
      </c>
      <c r="X68" s="5">
        <v>5</v>
      </c>
      <c r="Y68" s="5">
        <v>10</v>
      </c>
      <c r="Z68" s="5">
        <f t="shared" si="4"/>
        <v>76.25</v>
      </c>
      <c r="AA68" s="9">
        <f t="shared" si="5"/>
        <v>1.07</v>
      </c>
      <c r="AB68" s="176" t="s">
        <v>107</v>
      </c>
      <c r="AC68" s="161"/>
      <c r="AD68" s="161"/>
      <c r="AE68" s="161"/>
      <c r="AF68" s="161"/>
      <c r="AG68" s="161"/>
      <c r="AH68" s="161"/>
      <c r="AI68" s="161"/>
      <c r="AJ68" s="161"/>
      <c r="AK68" s="161"/>
    </row>
    <row r="69" spans="1:37" ht="38.25" x14ac:dyDescent="0.25">
      <c r="A69" s="171">
        <v>55</v>
      </c>
      <c r="B69" s="172" t="s">
        <v>300</v>
      </c>
      <c r="C69" s="4"/>
      <c r="D69" s="4"/>
      <c r="E69" s="4"/>
      <c r="F69" s="4"/>
      <c r="G69" s="5">
        <v>335</v>
      </c>
      <c r="H69" s="6">
        <v>0</v>
      </c>
      <c r="I69" s="6">
        <v>0</v>
      </c>
      <c r="J69" s="6">
        <v>0</v>
      </c>
      <c r="K69" s="6">
        <v>0</v>
      </c>
      <c r="L69" s="8">
        <v>41460.53</v>
      </c>
      <c r="M69" s="4">
        <v>13142.61</v>
      </c>
      <c r="N69" s="8">
        <v>9439.31</v>
      </c>
      <c r="O69" s="8">
        <f t="shared" si="0"/>
        <v>39.232740528703914</v>
      </c>
      <c r="P69" s="4">
        <f t="shared" si="1"/>
        <v>0</v>
      </c>
      <c r="Q69" s="4">
        <v>514.69399999999996</v>
      </c>
      <c r="R69" s="4">
        <v>499.05</v>
      </c>
      <c r="S69" s="7">
        <f t="shared" si="2"/>
        <v>-3.0394758827575119</v>
      </c>
      <c r="T69" s="5">
        <f t="shared" si="3"/>
        <v>5</v>
      </c>
      <c r="U69" s="5">
        <v>0</v>
      </c>
      <c r="V69" s="5">
        <v>5</v>
      </c>
      <c r="W69" s="5">
        <v>0</v>
      </c>
      <c r="X69" s="5">
        <v>5</v>
      </c>
      <c r="Y69" s="5">
        <v>10</v>
      </c>
      <c r="Z69" s="5">
        <f t="shared" si="4"/>
        <v>108.75</v>
      </c>
      <c r="AA69" s="9">
        <f t="shared" si="5"/>
        <v>1.53</v>
      </c>
      <c r="AB69" s="176" t="s">
        <v>108</v>
      </c>
      <c r="AC69" s="161"/>
      <c r="AD69" s="161"/>
      <c r="AE69" s="161"/>
      <c r="AF69" s="161"/>
      <c r="AG69" s="161"/>
      <c r="AH69" s="161"/>
      <c r="AI69" s="161"/>
      <c r="AJ69" s="161"/>
      <c r="AK69" s="161"/>
    </row>
    <row r="70" spans="1:37" ht="38.25" x14ac:dyDescent="0.25">
      <c r="A70" s="171">
        <v>56</v>
      </c>
      <c r="B70" s="172" t="s">
        <v>301</v>
      </c>
      <c r="C70" s="4"/>
      <c r="D70" s="4"/>
      <c r="E70" s="4"/>
      <c r="F70" s="4"/>
      <c r="G70" s="5">
        <v>330</v>
      </c>
      <c r="H70" s="6">
        <v>0</v>
      </c>
      <c r="I70" s="6">
        <v>0</v>
      </c>
      <c r="J70" s="6">
        <v>0</v>
      </c>
      <c r="K70" s="6">
        <v>0</v>
      </c>
      <c r="L70" s="8">
        <v>59850.879999999997</v>
      </c>
      <c r="M70" s="4">
        <v>20680.18</v>
      </c>
      <c r="N70" s="8">
        <v>13056.9</v>
      </c>
      <c r="O70" s="8">
        <f t="shared" si="0"/>
        <v>58.385068431250922</v>
      </c>
      <c r="P70" s="4">
        <f t="shared" si="1"/>
        <v>0</v>
      </c>
      <c r="Q70" s="4">
        <v>93.34</v>
      </c>
      <c r="R70" s="4">
        <v>82.13</v>
      </c>
      <c r="S70" s="7">
        <f t="shared" si="2"/>
        <v>-12.009856438825805</v>
      </c>
      <c r="T70" s="5">
        <f t="shared" si="3"/>
        <v>5</v>
      </c>
      <c r="U70" s="5">
        <v>0</v>
      </c>
      <c r="V70" s="5">
        <v>5</v>
      </c>
      <c r="W70" s="5">
        <v>0</v>
      </c>
      <c r="X70" s="5">
        <v>5</v>
      </c>
      <c r="Y70" s="5">
        <v>10</v>
      </c>
      <c r="Z70" s="5">
        <f t="shared" si="4"/>
        <v>107.5</v>
      </c>
      <c r="AA70" s="9">
        <f t="shared" si="5"/>
        <v>1.51</v>
      </c>
      <c r="AB70" s="176" t="s">
        <v>108</v>
      </c>
      <c r="AC70" s="161"/>
      <c r="AD70" s="161"/>
      <c r="AE70" s="161"/>
      <c r="AF70" s="161"/>
      <c r="AG70" s="161"/>
      <c r="AH70" s="161"/>
      <c r="AI70" s="161"/>
      <c r="AJ70" s="161"/>
      <c r="AK70" s="161"/>
    </row>
    <row r="71" spans="1:37" ht="38.25" x14ac:dyDescent="0.25">
      <c r="A71" s="171">
        <v>57</v>
      </c>
      <c r="B71" s="172" t="s">
        <v>302</v>
      </c>
      <c r="C71" s="4"/>
      <c r="D71" s="4"/>
      <c r="E71" s="4"/>
      <c r="F71" s="4"/>
      <c r="G71" s="5">
        <v>350</v>
      </c>
      <c r="H71" s="6">
        <v>0</v>
      </c>
      <c r="I71" s="6">
        <v>0</v>
      </c>
      <c r="J71" s="6">
        <v>0</v>
      </c>
      <c r="K71" s="6">
        <v>0</v>
      </c>
      <c r="L71" s="8">
        <v>17314.939999999999</v>
      </c>
      <c r="M71" s="4">
        <v>5308.83</v>
      </c>
      <c r="N71" s="8">
        <v>4002.04</v>
      </c>
      <c r="O71" s="8">
        <f t="shared" si="0"/>
        <v>32.653096920570512</v>
      </c>
      <c r="P71" s="4">
        <f t="shared" si="1"/>
        <v>0</v>
      </c>
      <c r="Q71" s="4">
        <v>459.62</v>
      </c>
      <c r="R71" s="4">
        <v>447.28</v>
      </c>
      <c r="S71" s="7">
        <f t="shared" si="2"/>
        <v>-2.6848265958835626</v>
      </c>
      <c r="T71" s="5">
        <f t="shared" si="3"/>
        <v>5</v>
      </c>
      <c r="U71" s="5">
        <v>5</v>
      </c>
      <c r="V71" s="5">
        <v>5</v>
      </c>
      <c r="W71" s="5">
        <v>10</v>
      </c>
      <c r="X71" s="5">
        <v>5</v>
      </c>
      <c r="Y71" s="5">
        <v>10</v>
      </c>
      <c r="Z71" s="5">
        <f t="shared" si="4"/>
        <v>97.5</v>
      </c>
      <c r="AA71" s="9">
        <f t="shared" si="5"/>
        <v>1.37</v>
      </c>
      <c r="AB71" s="176" t="s">
        <v>108</v>
      </c>
      <c r="AC71" s="161"/>
      <c r="AD71" s="161"/>
      <c r="AE71" s="161"/>
      <c r="AF71" s="161"/>
      <c r="AG71" s="161"/>
      <c r="AH71" s="161"/>
      <c r="AI71" s="161"/>
      <c r="AJ71" s="161"/>
      <c r="AK71" s="161"/>
    </row>
    <row r="72" spans="1:37" ht="38.25" x14ac:dyDescent="0.25">
      <c r="A72" s="171">
        <v>58</v>
      </c>
      <c r="B72" s="172" t="s">
        <v>303</v>
      </c>
      <c r="C72" s="4"/>
      <c r="D72" s="4"/>
      <c r="E72" s="4"/>
      <c r="F72" s="4"/>
      <c r="G72" s="5">
        <v>325</v>
      </c>
      <c r="H72" s="6">
        <v>0</v>
      </c>
      <c r="I72" s="6">
        <v>0</v>
      </c>
      <c r="J72" s="6">
        <v>0</v>
      </c>
      <c r="K72" s="6">
        <v>0</v>
      </c>
      <c r="L72" s="8">
        <v>17195.79</v>
      </c>
      <c r="M72" s="4">
        <v>5641.05</v>
      </c>
      <c r="N72" s="8">
        <v>3851.58</v>
      </c>
      <c r="O72" s="8">
        <f t="shared" si="0"/>
        <v>46.460673282133577</v>
      </c>
      <c r="P72" s="4">
        <f t="shared" si="1"/>
        <v>0</v>
      </c>
      <c r="Q72" s="4">
        <v>4.83</v>
      </c>
      <c r="R72" s="4">
        <v>4.95</v>
      </c>
      <c r="S72" s="7">
        <f t="shared" si="2"/>
        <v>2.4844720496894435</v>
      </c>
      <c r="T72" s="5">
        <f t="shared" si="3"/>
        <v>5</v>
      </c>
      <c r="U72" s="5">
        <v>0</v>
      </c>
      <c r="V72" s="5">
        <v>5</v>
      </c>
      <c r="W72" s="5">
        <v>0</v>
      </c>
      <c r="X72" s="5">
        <v>5</v>
      </c>
      <c r="Y72" s="5">
        <v>10</v>
      </c>
      <c r="Z72" s="5">
        <f t="shared" si="4"/>
        <v>106.25</v>
      </c>
      <c r="AA72" s="9">
        <f t="shared" si="5"/>
        <v>1.5</v>
      </c>
      <c r="AB72" s="176" t="s">
        <v>108</v>
      </c>
      <c r="AC72" s="161"/>
      <c r="AD72" s="161"/>
      <c r="AE72" s="161"/>
      <c r="AF72" s="161"/>
      <c r="AG72" s="161"/>
      <c r="AH72" s="161"/>
      <c r="AI72" s="161"/>
      <c r="AJ72" s="161"/>
      <c r="AK72" s="161"/>
    </row>
    <row r="73" spans="1:37" ht="38.25" x14ac:dyDescent="0.25">
      <c r="A73" s="171">
        <v>59</v>
      </c>
      <c r="B73" s="172" t="s">
        <v>304</v>
      </c>
      <c r="C73" s="4"/>
      <c r="D73" s="4"/>
      <c r="E73" s="4"/>
      <c r="F73" s="4"/>
      <c r="G73" s="5">
        <v>335</v>
      </c>
      <c r="H73" s="6">
        <v>0</v>
      </c>
      <c r="I73" s="6">
        <v>0</v>
      </c>
      <c r="J73" s="6">
        <v>10</v>
      </c>
      <c r="K73" s="6">
        <v>0</v>
      </c>
      <c r="L73" s="8">
        <v>25406.95</v>
      </c>
      <c r="M73" s="4">
        <v>6870.8</v>
      </c>
      <c r="N73" s="8">
        <v>6178.72</v>
      </c>
      <c r="O73" s="8">
        <f t="shared" si="0"/>
        <v>11.201025455110443</v>
      </c>
      <c r="P73" s="4">
        <f t="shared" si="1"/>
        <v>10</v>
      </c>
      <c r="Q73" s="4">
        <v>312.38</v>
      </c>
      <c r="R73" s="4">
        <v>304.8</v>
      </c>
      <c r="S73" s="7">
        <f t="shared" si="2"/>
        <v>-2.4265317882066664</v>
      </c>
      <c r="T73" s="5">
        <f t="shared" si="3"/>
        <v>5</v>
      </c>
      <c r="U73" s="5">
        <v>0</v>
      </c>
      <c r="V73" s="5">
        <v>5</v>
      </c>
      <c r="W73" s="5">
        <v>0</v>
      </c>
      <c r="X73" s="5">
        <v>5</v>
      </c>
      <c r="Y73" s="5">
        <v>10</v>
      </c>
      <c r="Z73" s="5">
        <f t="shared" si="4"/>
        <v>108.75</v>
      </c>
      <c r="AA73" s="9">
        <f t="shared" si="5"/>
        <v>1.53</v>
      </c>
      <c r="AB73" s="176" t="s">
        <v>108</v>
      </c>
      <c r="AC73" s="161"/>
      <c r="AD73" s="161"/>
      <c r="AE73" s="161"/>
      <c r="AF73" s="161"/>
      <c r="AG73" s="161"/>
      <c r="AH73" s="161"/>
      <c r="AI73" s="161"/>
      <c r="AJ73" s="161"/>
      <c r="AK73" s="161"/>
    </row>
    <row r="74" spans="1:37" ht="38.25" x14ac:dyDescent="0.25">
      <c r="A74" s="171">
        <v>60</v>
      </c>
      <c r="B74" s="172" t="s">
        <v>305</v>
      </c>
      <c r="C74" s="4"/>
      <c r="D74" s="4"/>
      <c r="E74" s="4"/>
      <c r="F74" s="4"/>
      <c r="G74" s="5">
        <v>335</v>
      </c>
      <c r="H74" s="6">
        <v>0</v>
      </c>
      <c r="I74" s="6">
        <v>0</v>
      </c>
      <c r="J74" s="6">
        <v>10</v>
      </c>
      <c r="K74" s="6">
        <v>0</v>
      </c>
      <c r="L74" s="8">
        <v>22248.82</v>
      </c>
      <c r="M74" s="4">
        <v>6896.99</v>
      </c>
      <c r="N74" s="8">
        <v>5117.28</v>
      </c>
      <c r="O74" s="8">
        <f t="shared" si="0"/>
        <v>34.778436982146765</v>
      </c>
      <c r="P74" s="4">
        <f t="shared" si="1"/>
        <v>0</v>
      </c>
      <c r="Q74" s="4">
        <v>14.13</v>
      </c>
      <c r="R74" s="4">
        <v>17.239999999999998</v>
      </c>
      <c r="S74" s="7">
        <f t="shared" si="2"/>
        <v>22.009907997169126</v>
      </c>
      <c r="T74" s="5">
        <f t="shared" si="3"/>
        <v>0</v>
      </c>
      <c r="U74" s="5">
        <v>0</v>
      </c>
      <c r="V74" s="5">
        <v>5</v>
      </c>
      <c r="W74" s="5">
        <v>0</v>
      </c>
      <c r="X74" s="5">
        <v>5</v>
      </c>
      <c r="Y74" s="5">
        <v>10</v>
      </c>
      <c r="Z74" s="5">
        <f t="shared" si="4"/>
        <v>93.75</v>
      </c>
      <c r="AA74" s="9">
        <f t="shared" si="5"/>
        <v>1.32</v>
      </c>
      <c r="AB74" s="176" t="s">
        <v>108</v>
      </c>
      <c r="AC74" s="161"/>
      <c r="AD74" s="161"/>
      <c r="AE74" s="161"/>
      <c r="AF74" s="161"/>
      <c r="AG74" s="161"/>
      <c r="AH74" s="161"/>
      <c r="AI74" s="161"/>
      <c r="AJ74" s="161"/>
      <c r="AK74" s="161"/>
    </row>
    <row r="75" spans="1:37" ht="38.25" x14ac:dyDescent="0.25">
      <c r="A75" s="171">
        <v>61</v>
      </c>
      <c r="B75" s="175" t="s">
        <v>306</v>
      </c>
      <c r="C75" s="4"/>
      <c r="D75" s="4"/>
      <c r="E75" s="4"/>
      <c r="F75" s="4"/>
      <c r="G75" s="5">
        <v>345</v>
      </c>
      <c r="H75" s="6">
        <v>0</v>
      </c>
      <c r="I75" s="6">
        <v>0</v>
      </c>
      <c r="J75" s="6">
        <v>0</v>
      </c>
      <c r="K75" s="6">
        <v>0</v>
      </c>
      <c r="L75" s="8">
        <v>23222.25</v>
      </c>
      <c r="M75" s="4">
        <v>6429.99</v>
      </c>
      <c r="N75" s="8">
        <v>5597.42</v>
      </c>
      <c r="O75" s="8">
        <f t="shared" si="0"/>
        <v>14.874174173101173</v>
      </c>
      <c r="P75" s="4">
        <f t="shared" si="1"/>
        <v>10</v>
      </c>
      <c r="Q75" s="4">
        <v>53.68</v>
      </c>
      <c r="R75" s="4">
        <v>88.01</v>
      </c>
      <c r="S75" s="7">
        <f t="shared" si="2"/>
        <v>63.953055141579739</v>
      </c>
      <c r="T75" s="5">
        <f t="shared" si="3"/>
        <v>0</v>
      </c>
      <c r="U75" s="5">
        <v>0</v>
      </c>
      <c r="V75" s="5">
        <v>5</v>
      </c>
      <c r="W75" s="5">
        <v>20</v>
      </c>
      <c r="X75" s="5">
        <v>5</v>
      </c>
      <c r="Y75" s="5">
        <v>10</v>
      </c>
      <c r="Z75" s="5">
        <f>G75/4-(H75+I75+J75+K75)+P75+T75-U75+V75-W75+X75+Y75</f>
        <v>96.25</v>
      </c>
      <c r="AA75" s="9">
        <f t="shared" si="5"/>
        <v>1.36</v>
      </c>
      <c r="AB75" s="177" t="s">
        <v>108</v>
      </c>
      <c r="AC75" s="161"/>
      <c r="AD75" s="161"/>
      <c r="AE75" s="161"/>
      <c r="AF75" s="161"/>
      <c r="AG75" s="161"/>
      <c r="AH75" s="161"/>
      <c r="AI75" s="161"/>
      <c r="AJ75" s="161"/>
      <c r="AK75" s="161"/>
    </row>
    <row r="76" spans="1:37" ht="89.25" x14ac:dyDescent="0.25">
      <c r="A76" s="171">
        <v>62</v>
      </c>
      <c r="B76" s="172" t="s">
        <v>307</v>
      </c>
      <c r="C76" s="4"/>
      <c r="D76" s="4"/>
      <c r="E76" s="4"/>
      <c r="F76" s="4"/>
      <c r="G76" s="5">
        <v>300</v>
      </c>
      <c r="H76" s="6">
        <v>0</v>
      </c>
      <c r="I76" s="6">
        <v>0</v>
      </c>
      <c r="J76" s="6">
        <v>20</v>
      </c>
      <c r="K76" s="6">
        <v>0</v>
      </c>
      <c r="L76" s="8">
        <v>70237.97</v>
      </c>
      <c r="M76" s="4">
        <v>23923.13</v>
      </c>
      <c r="N76" s="8">
        <v>15438.28</v>
      </c>
      <c r="O76" s="8">
        <f t="shared" si="0"/>
        <v>54.959814176190612</v>
      </c>
      <c r="P76" s="4">
        <f t="shared" si="1"/>
        <v>0</v>
      </c>
      <c r="Q76" s="4">
        <v>775.92</v>
      </c>
      <c r="R76" s="4">
        <v>681.15</v>
      </c>
      <c r="S76" s="7">
        <f t="shared" si="2"/>
        <v>-12.213888029693781</v>
      </c>
      <c r="T76" s="5">
        <f t="shared" si="3"/>
        <v>5</v>
      </c>
      <c r="U76" s="5">
        <v>0</v>
      </c>
      <c r="V76" s="5">
        <v>5</v>
      </c>
      <c r="W76" s="5">
        <v>10</v>
      </c>
      <c r="X76" s="5">
        <v>5</v>
      </c>
      <c r="Y76" s="5">
        <v>10</v>
      </c>
      <c r="Z76" s="5">
        <f t="shared" si="4"/>
        <v>70</v>
      </c>
      <c r="AA76" s="9">
        <f t="shared" si="5"/>
        <v>0.99</v>
      </c>
      <c r="AB76" s="176" t="s">
        <v>107</v>
      </c>
      <c r="AC76" s="161"/>
      <c r="AD76" s="161"/>
      <c r="AE76" s="161"/>
      <c r="AF76" s="161"/>
      <c r="AG76" s="161"/>
      <c r="AH76" s="161"/>
      <c r="AI76" s="161"/>
      <c r="AJ76" s="161"/>
      <c r="AK76" s="161"/>
    </row>
    <row r="77" spans="1:37" ht="38.25" x14ac:dyDescent="0.25">
      <c r="A77" s="171">
        <v>63</v>
      </c>
      <c r="B77" s="172" t="s">
        <v>308</v>
      </c>
      <c r="C77" s="4"/>
      <c r="D77" s="4"/>
      <c r="E77" s="4"/>
      <c r="F77" s="4"/>
      <c r="G77" s="5">
        <v>330</v>
      </c>
      <c r="H77" s="6">
        <v>0</v>
      </c>
      <c r="I77" s="6">
        <v>0</v>
      </c>
      <c r="J77" s="6">
        <v>0</v>
      </c>
      <c r="K77" s="6">
        <v>0</v>
      </c>
      <c r="L77" s="8">
        <v>21837.18</v>
      </c>
      <c r="M77" s="4">
        <v>6553.69</v>
      </c>
      <c r="N77" s="8">
        <v>5094.5</v>
      </c>
      <c r="O77" s="8">
        <f t="shared" si="0"/>
        <v>28.642457552262236</v>
      </c>
      <c r="P77" s="4">
        <f t="shared" si="1"/>
        <v>0</v>
      </c>
      <c r="Q77" s="4">
        <v>101.83</v>
      </c>
      <c r="R77" s="4">
        <v>114.1</v>
      </c>
      <c r="S77" s="7">
        <f t="shared" si="2"/>
        <v>12.049494255131098</v>
      </c>
      <c r="T77" s="5">
        <f t="shared" si="3"/>
        <v>0</v>
      </c>
      <c r="U77" s="5">
        <v>5</v>
      </c>
      <c r="V77" s="5">
        <v>5</v>
      </c>
      <c r="W77" s="5">
        <v>0</v>
      </c>
      <c r="X77" s="5">
        <v>5</v>
      </c>
      <c r="Y77" s="5">
        <v>10</v>
      </c>
      <c r="Z77" s="5">
        <f t="shared" si="4"/>
        <v>97.5</v>
      </c>
      <c r="AA77" s="9">
        <f t="shared" si="5"/>
        <v>1.37</v>
      </c>
      <c r="AB77" s="176" t="s">
        <v>108</v>
      </c>
      <c r="AC77" s="161"/>
      <c r="AD77" s="161"/>
      <c r="AE77" s="161"/>
      <c r="AF77" s="161"/>
      <c r="AG77" s="161"/>
      <c r="AH77" s="161"/>
      <c r="AI77" s="161"/>
      <c r="AJ77" s="161"/>
      <c r="AK77" s="161"/>
    </row>
    <row r="78" spans="1:37" ht="38.25" x14ac:dyDescent="0.25">
      <c r="A78" s="171">
        <v>64</v>
      </c>
      <c r="B78" s="172" t="s">
        <v>309</v>
      </c>
      <c r="C78" s="4"/>
      <c r="D78" s="4"/>
      <c r="E78" s="4"/>
      <c r="F78" s="4"/>
      <c r="G78" s="5">
        <v>250</v>
      </c>
      <c r="H78" s="6">
        <v>0</v>
      </c>
      <c r="I78" s="6">
        <v>0</v>
      </c>
      <c r="J78" s="6">
        <v>0</v>
      </c>
      <c r="K78" s="6">
        <v>0</v>
      </c>
      <c r="L78" s="8">
        <v>15324.68</v>
      </c>
      <c r="M78" s="4">
        <v>5777.2</v>
      </c>
      <c r="N78" s="8">
        <v>3182.49</v>
      </c>
      <c r="O78" s="8">
        <f t="shared" si="0"/>
        <v>81.530813922431818</v>
      </c>
      <c r="P78" s="4">
        <f t="shared" si="1"/>
        <v>0</v>
      </c>
      <c r="Q78" s="4">
        <v>134.03</v>
      </c>
      <c r="R78" s="4">
        <v>109.56</v>
      </c>
      <c r="S78" s="7">
        <f t="shared" si="2"/>
        <v>-18.257106617921359</v>
      </c>
      <c r="T78" s="5">
        <f t="shared" si="3"/>
        <v>5</v>
      </c>
      <c r="U78" s="5">
        <v>0</v>
      </c>
      <c r="V78" s="5">
        <v>5</v>
      </c>
      <c r="W78" s="5">
        <v>10</v>
      </c>
      <c r="X78" s="5">
        <v>5</v>
      </c>
      <c r="Y78" s="5">
        <v>10</v>
      </c>
      <c r="Z78" s="5">
        <f t="shared" si="4"/>
        <v>77.5</v>
      </c>
      <c r="AA78" s="9">
        <f t="shared" si="5"/>
        <v>1.0900000000000001</v>
      </c>
      <c r="AB78" s="176" t="s">
        <v>107</v>
      </c>
      <c r="AC78" s="161"/>
      <c r="AD78" s="161"/>
      <c r="AE78" s="161"/>
      <c r="AF78" s="161"/>
      <c r="AG78" s="161"/>
      <c r="AH78" s="161"/>
      <c r="AI78" s="161"/>
      <c r="AJ78" s="161"/>
      <c r="AK78" s="161"/>
    </row>
    <row r="79" spans="1:37" ht="38.25" x14ac:dyDescent="0.25">
      <c r="A79" s="171">
        <v>65</v>
      </c>
      <c r="B79" s="172" t="s">
        <v>310</v>
      </c>
      <c r="C79" s="4"/>
      <c r="D79" s="4"/>
      <c r="E79" s="4"/>
      <c r="F79" s="4"/>
      <c r="G79" s="5">
        <v>365</v>
      </c>
      <c r="H79" s="6">
        <v>0</v>
      </c>
      <c r="I79" s="6">
        <v>0</v>
      </c>
      <c r="J79" s="6">
        <v>0</v>
      </c>
      <c r="K79" s="6">
        <v>0</v>
      </c>
      <c r="L79" s="8">
        <v>89236.89</v>
      </c>
      <c r="M79" s="4">
        <v>27494.09</v>
      </c>
      <c r="N79" s="8">
        <v>20580.93</v>
      </c>
      <c r="O79" s="8">
        <f t="shared" si="0"/>
        <v>33.59012445015847</v>
      </c>
      <c r="P79" s="4">
        <f t="shared" si="1"/>
        <v>0</v>
      </c>
      <c r="Q79" s="4">
        <v>842.23</v>
      </c>
      <c r="R79" s="4">
        <v>529.45000000000005</v>
      </c>
      <c r="S79" s="7">
        <f t="shared" si="2"/>
        <v>-37.137124063498092</v>
      </c>
      <c r="T79" s="5">
        <f t="shared" si="3"/>
        <v>5</v>
      </c>
      <c r="U79" s="5">
        <v>0</v>
      </c>
      <c r="V79" s="5">
        <v>5</v>
      </c>
      <c r="W79" s="5">
        <v>0</v>
      </c>
      <c r="X79" s="5">
        <v>5</v>
      </c>
      <c r="Y79" s="5">
        <v>10</v>
      </c>
      <c r="Z79" s="5">
        <f t="shared" si="4"/>
        <v>116.25</v>
      </c>
      <c r="AA79" s="9">
        <f t="shared" si="5"/>
        <v>1.64</v>
      </c>
      <c r="AB79" s="176" t="s">
        <v>106</v>
      </c>
      <c r="AC79" s="161"/>
      <c r="AD79" s="161"/>
      <c r="AE79" s="161"/>
      <c r="AF79" s="161"/>
      <c r="AG79" s="161"/>
      <c r="AH79" s="161"/>
      <c r="AI79" s="161"/>
      <c r="AJ79" s="161"/>
      <c r="AK79" s="161"/>
    </row>
    <row r="80" spans="1:37" customFormat="1" ht="25.5" hidden="1" customHeight="1" x14ac:dyDescent="0.25">
      <c r="A80" s="23">
        <v>66</v>
      </c>
      <c r="B80" s="24" t="s">
        <v>92</v>
      </c>
      <c r="C80" s="4"/>
      <c r="D80" s="4"/>
      <c r="E80" s="4"/>
      <c r="F80" s="4"/>
      <c r="G80" s="5">
        <v>340</v>
      </c>
      <c r="H80" s="6">
        <v>0</v>
      </c>
      <c r="I80" s="6">
        <v>0</v>
      </c>
      <c r="J80" s="6">
        <v>20</v>
      </c>
      <c r="K80" s="6">
        <v>0</v>
      </c>
      <c r="L80" s="8">
        <v>195636.88</v>
      </c>
      <c r="M80" s="4">
        <v>67927.39</v>
      </c>
      <c r="N80" s="8">
        <v>42569.83</v>
      </c>
      <c r="O80" s="8">
        <f t="shared" ref="O80:O85" si="6">(M80-N80)*100/N80</f>
        <v>59.566975014934286</v>
      </c>
      <c r="P80" s="4">
        <f t="shared" ref="P80:P85" si="7">IF(O80&lt;=25,10,0)</f>
        <v>0</v>
      </c>
      <c r="Q80" s="4">
        <v>3358.72</v>
      </c>
      <c r="R80" s="4">
        <v>2920.4</v>
      </c>
      <c r="S80" s="7">
        <f t="shared" ref="S80:S85" si="8">(R80-Q80)/Q80*100</f>
        <v>-13.050209603658528</v>
      </c>
      <c r="T80" s="5">
        <f t="shared" ref="T80:T85" si="9">IF(S80&lt;=3,5,0)</f>
        <v>5</v>
      </c>
      <c r="U80" s="5">
        <v>5</v>
      </c>
      <c r="V80" s="5">
        <v>5</v>
      </c>
      <c r="W80" s="5">
        <v>20</v>
      </c>
      <c r="X80" s="5">
        <v>5</v>
      </c>
      <c r="Y80" s="5">
        <v>10</v>
      </c>
      <c r="Z80" s="5">
        <f t="shared" ref="Z80:Z85" si="10">G80/4-(H80+I80+J80+K80)+P80+T80-U80+V80-W80+X80+Y80</f>
        <v>65</v>
      </c>
      <c r="AA80" s="9">
        <f t="shared" ref="AA80:AA85" si="11">ROUND(Z80/71,2)</f>
        <v>0.92</v>
      </c>
      <c r="AB80" s="38" t="s">
        <v>107</v>
      </c>
      <c r="AC80" s="1"/>
      <c r="AD80" s="1"/>
      <c r="AE80" s="1"/>
      <c r="AF80" s="1"/>
      <c r="AG80" s="1"/>
      <c r="AH80" s="1"/>
      <c r="AI80" s="1"/>
      <c r="AJ80" s="1"/>
      <c r="AK80" s="1"/>
    </row>
    <row r="81" spans="1:37" customFormat="1" ht="25.5" hidden="1" customHeight="1" x14ac:dyDescent="0.25">
      <c r="A81" s="23">
        <v>67</v>
      </c>
      <c r="B81" s="24" t="s">
        <v>93</v>
      </c>
      <c r="C81" s="4"/>
      <c r="D81" s="4"/>
      <c r="E81" s="4"/>
      <c r="F81" s="4"/>
      <c r="G81" s="5">
        <v>340</v>
      </c>
      <c r="H81" s="6">
        <v>0</v>
      </c>
      <c r="I81" s="6">
        <v>0</v>
      </c>
      <c r="J81" s="6">
        <v>10</v>
      </c>
      <c r="K81" s="6">
        <v>0</v>
      </c>
      <c r="L81" s="8">
        <v>46079.68</v>
      </c>
      <c r="M81" s="4">
        <v>15219.16</v>
      </c>
      <c r="N81" s="8">
        <v>10286.84</v>
      </c>
      <c r="O81" s="8">
        <f t="shared" si="6"/>
        <v>47.947863483829828</v>
      </c>
      <c r="P81" s="4">
        <f t="shared" si="7"/>
        <v>0</v>
      </c>
      <c r="Q81" s="4">
        <v>1289.02</v>
      </c>
      <c r="R81" s="4">
        <v>1402.93</v>
      </c>
      <c r="S81" s="7">
        <f t="shared" si="8"/>
        <v>8.8369458968829093</v>
      </c>
      <c r="T81" s="5">
        <f t="shared" si="9"/>
        <v>0</v>
      </c>
      <c r="U81" s="5">
        <v>5</v>
      </c>
      <c r="V81" s="5">
        <v>5</v>
      </c>
      <c r="W81" s="5">
        <v>0</v>
      </c>
      <c r="X81" s="5">
        <v>5</v>
      </c>
      <c r="Y81" s="5">
        <v>10</v>
      </c>
      <c r="Z81" s="5">
        <f t="shared" si="10"/>
        <v>90</v>
      </c>
      <c r="AA81" s="9">
        <f t="shared" si="11"/>
        <v>1.27</v>
      </c>
      <c r="AB81" s="38" t="s">
        <v>108</v>
      </c>
      <c r="AC81" s="1"/>
      <c r="AD81" s="1"/>
      <c r="AE81" s="1"/>
      <c r="AF81" s="1"/>
      <c r="AG81" s="1"/>
      <c r="AH81" s="1"/>
      <c r="AI81" s="1"/>
      <c r="AJ81" s="1"/>
      <c r="AK81" s="1"/>
    </row>
    <row r="82" spans="1:37" customFormat="1" ht="25.5" hidden="1" customHeight="1" x14ac:dyDescent="0.25">
      <c r="A82" s="23">
        <v>68</v>
      </c>
      <c r="B82" s="24" t="s">
        <v>94</v>
      </c>
      <c r="C82" s="4"/>
      <c r="D82" s="4"/>
      <c r="E82" s="4"/>
      <c r="F82" s="4"/>
      <c r="G82" s="5">
        <v>330</v>
      </c>
      <c r="H82" s="6">
        <v>0</v>
      </c>
      <c r="I82" s="6">
        <v>0</v>
      </c>
      <c r="J82" s="6">
        <v>0</v>
      </c>
      <c r="K82" s="6">
        <v>0</v>
      </c>
      <c r="L82" s="8">
        <v>13989.71</v>
      </c>
      <c r="M82" s="4">
        <v>5467.35</v>
      </c>
      <c r="N82" s="8">
        <v>2840.79</v>
      </c>
      <c r="O82" s="8">
        <f t="shared" si="6"/>
        <v>92.458787872387632</v>
      </c>
      <c r="P82" s="4">
        <f t="shared" si="7"/>
        <v>0</v>
      </c>
      <c r="Q82" s="4">
        <v>92.44</v>
      </c>
      <c r="R82" s="4">
        <v>91.84</v>
      </c>
      <c r="S82" s="7">
        <f t="shared" si="8"/>
        <v>-0.64906966681089817</v>
      </c>
      <c r="T82" s="5">
        <f t="shared" si="9"/>
        <v>5</v>
      </c>
      <c r="U82" s="5">
        <v>0</v>
      </c>
      <c r="V82" s="5">
        <v>5</v>
      </c>
      <c r="W82" s="5">
        <v>0</v>
      </c>
      <c r="X82" s="5">
        <v>5</v>
      </c>
      <c r="Y82" s="5">
        <v>10</v>
      </c>
      <c r="Z82" s="5">
        <f t="shared" si="10"/>
        <v>107.5</v>
      </c>
      <c r="AA82" s="9">
        <f t="shared" si="11"/>
        <v>1.51</v>
      </c>
      <c r="AB82" s="38" t="s">
        <v>108</v>
      </c>
      <c r="AC82" s="1"/>
      <c r="AD82" s="1"/>
      <c r="AE82" s="1"/>
      <c r="AF82" s="1"/>
      <c r="AG82" s="1"/>
      <c r="AH82" s="1"/>
      <c r="AI82" s="1"/>
      <c r="AJ82" s="1"/>
      <c r="AK82" s="1"/>
    </row>
    <row r="83" spans="1:37" customFormat="1" ht="25.5" hidden="1" customHeight="1" x14ac:dyDescent="0.25">
      <c r="A83" s="23">
        <v>69</v>
      </c>
      <c r="B83" s="24" t="s">
        <v>95</v>
      </c>
      <c r="C83" s="4"/>
      <c r="D83" s="4"/>
      <c r="E83" s="4"/>
      <c r="F83" s="4"/>
      <c r="G83" s="5">
        <v>305</v>
      </c>
      <c r="H83" s="6">
        <v>0</v>
      </c>
      <c r="I83" s="6">
        <v>0</v>
      </c>
      <c r="J83" s="6">
        <v>0</v>
      </c>
      <c r="K83" s="6">
        <v>0</v>
      </c>
      <c r="L83" s="8">
        <v>17487.93</v>
      </c>
      <c r="M83" s="4">
        <v>5860.78</v>
      </c>
      <c r="N83" s="8">
        <v>3875.72</v>
      </c>
      <c r="O83" s="8">
        <f t="shared" si="6"/>
        <v>51.217838233928148</v>
      </c>
      <c r="P83" s="4">
        <f t="shared" si="7"/>
        <v>0</v>
      </c>
      <c r="Q83" s="4">
        <v>215.03</v>
      </c>
      <c r="R83" s="4">
        <v>201.52</v>
      </c>
      <c r="S83" s="7">
        <f t="shared" si="8"/>
        <v>-6.2828442542900946</v>
      </c>
      <c r="T83" s="5">
        <f t="shared" si="9"/>
        <v>5</v>
      </c>
      <c r="U83" s="5">
        <v>0</v>
      </c>
      <c r="V83" s="5">
        <v>5</v>
      </c>
      <c r="W83" s="5">
        <v>0</v>
      </c>
      <c r="X83" s="5">
        <v>5</v>
      </c>
      <c r="Y83" s="5">
        <v>10</v>
      </c>
      <c r="Z83" s="5">
        <f t="shared" si="10"/>
        <v>101.25</v>
      </c>
      <c r="AA83" s="9">
        <f t="shared" si="11"/>
        <v>1.43</v>
      </c>
      <c r="AB83" s="38" t="s">
        <v>108</v>
      </c>
      <c r="AC83" s="1"/>
      <c r="AD83" s="1"/>
      <c r="AE83" s="1"/>
      <c r="AF83" s="1"/>
      <c r="AG83" s="1"/>
      <c r="AH83" s="1"/>
      <c r="AI83" s="1"/>
      <c r="AJ83" s="1"/>
      <c r="AK83" s="1"/>
    </row>
    <row r="84" spans="1:37" customFormat="1" ht="25.5" hidden="1" customHeight="1" x14ac:dyDescent="0.25">
      <c r="A84" s="23">
        <v>70</v>
      </c>
      <c r="B84" s="24" t="s">
        <v>96</v>
      </c>
      <c r="C84" s="4"/>
      <c r="D84" s="4"/>
      <c r="E84" s="4"/>
      <c r="F84" s="4"/>
      <c r="G84" s="5">
        <v>315</v>
      </c>
      <c r="H84" s="6">
        <v>0</v>
      </c>
      <c r="I84" s="6">
        <v>0</v>
      </c>
      <c r="J84" s="6">
        <v>0</v>
      </c>
      <c r="K84" s="6">
        <v>0</v>
      </c>
      <c r="L84" s="8">
        <v>78506.490000000005</v>
      </c>
      <c r="M84" s="4">
        <v>23737.68</v>
      </c>
      <c r="N84" s="8">
        <v>18256.27</v>
      </c>
      <c r="O84" s="8">
        <f t="shared" si="6"/>
        <v>30.024807915307999</v>
      </c>
      <c r="P84" s="4">
        <f t="shared" si="7"/>
        <v>0</v>
      </c>
      <c r="Q84" s="4">
        <v>1171.47</v>
      </c>
      <c r="R84" s="4">
        <v>1642.45</v>
      </c>
      <c r="S84" s="7">
        <f t="shared" si="8"/>
        <v>40.204187900671805</v>
      </c>
      <c r="T84" s="5">
        <f t="shared" si="9"/>
        <v>0</v>
      </c>
      <c r="U84" s="5">
        <v>0</v>
      </c>
      <c r="V84" s="5">
        <v>5</v>
      </c>
      <c r="W84" s="5">
        <v>20</v>
      </c>
      <c r="X84" s="5">
        <v>5</v>
      </c>
      <c r="Y84" s="5">
        <v>10</v>
      </c>
      <c r="Z84" s="5">
        <f t="shared" si="10"/>
        <v>78.75</v>
      </c>
      <c r="AA84" s="9">
        <f t="shared" si="11"/>
        <v>1.1100000000000001</v>
      </c>
      <c r="AB84" s="38" t="s">
        <v>107</v>
      </c>
      <c r="AC84" s="1"/>
      <c r="AD84" s="1"/>
      <c r="AE84" s="1"/>
      <c r="AF84" s="1"/>
      <c r="AG84" s="1"/>
      <c r="AH84" s="1"/>
      <c r="AI84" s="1"/>
      <c r="AJ84" s="1"/>
      <c r="AK84" s="1"/>
    </row>
    <row r="85" spans="1:37" customFormat="1" ht="25.5" hidden="1" customHeight="1" x14ac:dyDescent="0.25">
      <c r="A85" s="23">
        <v>71</v>
      </c>
      <c r="B85" s="24" t="s">
        <v>97</v>
      </c>
      <c r="C85" s="4"/>
      <c r="D85" s="4"/>
      <c r="E85" s="4"/>
      <c r="F85" s="4"/>
      <c r="G85" s="5">
        <v>325</v>
      </c>
      <c r="H85" s="6">
        <v>0</v>
      </c>
      <c r="I85" s="6">
        <v>0</v>
      </c>
      <c r="J85" s="6">
        <v>0</v>
      </c>
      <c r="K85" s="6">
        <v>0</v>
      </c>
      <c r="L85" s="8">
        <v>21383.53</v>
      </c>
      <c r="M85" s="4">
        <v>7497.08</v>
      </c>
      <c r="N85" s="8">
        <v>4628.82</v>
      </c>
      <c r="O85" s="8">
        <f t="shared" si="6"/>
        <v>61.965252483354291</v>
      </c>
      <c r="P85" s="4">
        <f t="shared" si="7"/>
        <v>0</v>
      </c>
      <c r="Q85" s="4">
        <v>692.01</v>
      </c>
      <c r="R85" s="4">
        <v>509.91</v>
      </c>
      <c r="S85" s="7">
        <f t="shared" si="8"/>
        <v>-26.314648632245195</v>
      </c>
      <c r="T85" s="5">
        <f t="shared" si="9"/>
        <v>5</v>
      </c>
      <c r="U85" s="5">
        <v>5</v>
      </c>
      <c r="V85" s="5">
        <v>5</v>
      </c>
      <c r="W85" s="5">
        <v>0</v>
      </c>
      <c r="X85" s="5">
        <v>5</v>
      </c>
      <c r="Y85" s="5">
        <v>10</v>
      </c>
      <c r="Z85" s="5">
        <f t="shared" si="10"/>
        <v>101.25</v>
      </c>
      <c r="AA85" s="9">
        <f t="shared" si="11"/>
        <v>1.43</v>
      </c>
      <c r="AB85" s="38" t="s">
        <v>108</v>
      </c>
      <c r="AC85" s="1"/>
      <c r="AD85" s="1"/>
      <c r="AE85" s="1"/>
      <c r="AF85" s="1"/>
      <c r="AG85" s="1"/>
      <c r="AH85" s="1"/>
      <c r="AI85" s="1"/>
      <c r="AJ85" s="1"/>
      <c r="AK85" s="1"/>
    </row>
    <row r="86" spans="1:37" x14ac:dyDescent="0.25">
      <c r="A86" s="179"/>
      <c r="B86" s="180"/>
      <c r="C86" s="12"/>
      <c r="D86" s="13"/>
      <c r="E86" s="13"/>
      <c r="F86" s="13"/>
      <c r="G86" s="14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6"/>
      <c r="S86" s="16"/>
      <c r="T86" s="16"/>
      <c r="U86" s="16"/>
      <c r="V86" s="16"/>
      <c r="W86" s="16"/>
      <c r="X86" s="16"/>
      <c r="Y86" s="16"/>
      <c r="Z86" s="17"/>
      <c r="AA86" s="18"/>
      <c r="AB86" s="1"/>
      <c r="AC86" s="161"/>
      <c r="AD86" s="161"/>
      <c r="AE86" s="161"/>
      <c r="AF86" s="161"/>
      <c r="AG86" s="161"/>
      <c r="AH86" s="161"/>
      <c r="AI86" s="161"/>
      <c r="AJ86" s="161"/>
      <c r="AK86" s="161"/>
    </row>
    <row r="87" spans="1:37" ht="20.25" customHeight="1" x14ac:dyDescent="0.25">
      <c r="A87" s="1"/>
      <c r="B87" s="180"/>
      <c r="C87" s="18"/>
      <c r="D87" s="16"/>
      <c r="E87" s="16"/>
      <c r="F87" s="16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"/>
      <c r="S87" s="1"/>
      <c r="T87" s="1"/>
      <c r="U87" s="1"/>
      <c r="V87" s="1"/>
      <c r="W87" s="1"/>
      <c r="X87" s="1"/>
      <c r="Y87" s="1"/>
      <c r="Z87" s="18"/>
      <c r="AA87" s="16"/>
      <c r="AB87" s="1"/>
      <c r="AC87" s="161"/>
      <c r="AD87" s="161"/>
      <c r="AE87" s="161"/>
      <c r="AF87" s="161"/>
      <c r="AG87" s="161"/>
      <c r="AH87" s="161"/>
      <c r="AI87" s="161"/>
      <c r="AJ87" s="161"/>
      <c r="AK87" s="161"/>
    </row>
    <row r="88" spans="1:37" ht="20.25" x14ac:dyDescent="0.3">
      <c r="A88" s="1"/>
      <c r="B88" s="253" t="s">
        <v>20</v>
      </c>
      <c r="C88" s="254"/>
      <c r="D88" s="254"/>
      <c r="E88" s="254"/>
      <c r="F88" s="254"/>
      <c r="G88" s="253"/>
      <c r="H88" s="253"/>
      <c r="I88" s="253"/>
      <c r="J88" s="253"/>
      <c r="K88" s="44"/>
      <c r="L88" s="44"/>
      <c r="M88" s="44"/>
      <c r="N88" s="44"/>
      <c r="O88" s="44" t="s">
        <v>109</v>
      </c>
      <c r="P88" s="15"/>
      <c r="Q88" s="15"/>
      <c r="R88" s="16"/>
      <c r="S88" s="16"/>
      <c r="T88" s="16"/>
      <c r="U88" s="1"/>
      <c r="V88" s="1"/>
      <c r="W88" s="1"/>
      <c r="X88" s="1"/>
      <c r="Y88" s="1"/>
      <c r="Z88" s="1"/>
      <c r="AA88" s="16"/>
      <c r="AB88" s="1"/>
    </row>
  </sheetData>
  <autoFilter ref="A14:AK85">
    <filterColumn colId="27">
      <filters>
        <filter val="I"/>
      </filters>
    </filterColumn>
  </autoFilter>
  <mergeCells count="37">
    <mergeCell ref="B88:J88"/>
    <mergeCell ref="A9:AB9"/>
    <mergeCell ref="Y1:Z1"/>
    <mergeCell ref="A3:H6"/>
    <mergeCell ref="A8:AB8"/>
    <mergeCell ref="N11:N13"/>
    <mergeCell ref="AA11:AA13"/>
    <mergeCell ref="AB11:AB13"/>
    <mergeCell ref="U11:U13"/>
    <mergeCell ref="V11:V13"/>
    <mergeCell ref="W11:W13"/>
    <mergeCell ref="X11:X13"/>
    <mergeCell ref="Y11:Y13"/>
    <mergeCell ref="Z11:Z13"/>
    <mergeCell ref="O11:O13"/>
    <mergeCell ref="P11:P13"/>
    <mergeCell ref="AD8:AF8"/>
    <mergeCell ref="AI8:AK8"/>
    <mergeCell ref="AD10:AE13"/>
    <mergeCell ref="AI10:AJ13"/>
    <mergeCell ref="A11:A13"/>
    <mergeCell ref="B11:B13"/>
    <mergeCell ref="C11:C13"/>
    <mergeCell ref="D11:D13"/>
    <mergeCell ref="E11:E13"/>
    <mergeCell ref="F11:F13"/>
    <mergeCell ref="G11:G13"/>
    <mergeCell ref="H11:H13"/>
    <mergeCell ref="J11:J13"/>
    <mergeCell ref="K11:K13"/>
    <mergeCell ref="L11:L13"/>
    <mergeCell ref="M11:M13"/>
    <mergeCell ref="Q11:Q13"/>
    <mergeCell ref="R11:R13"/>
    <mergeCell ref="S11:S13"/>
    <mergeCell ref="T11:T13"/>
    <mergeCell ref="I11:I13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view="pageBreakPreview" topLeftCell="A61" zoomScale="50" zoomScaleNormal="60" zoomScaleSheetLayoutView="50" zoomScalePageLayoutView="50" workbookViewId="0">
      <selection activeCell="B88" sqref="B88"/>
    </sheetView>
  </sheetViews>
  <sheetFormatPr defaultColWidth="9.140625" defaultRowHeight="15" x14ac:dyDescent="0.25"/>
  <cols>
    <col min="1" max="1" width="4.140625" style="1" customWidth="1"/>
    <col min="2" max="2" width="44.28515625" style="1" customWidth="1"/>
    <col min="3" max="3" width="0.140625" style="2" customWidth="1"/>
    <col min="4" max="4" width="12.7109375" style="1" hidden="1" customWidth="1"/>
    <col min="5" max="5" width="10.140625" style="1" hidden="1" customWidth="1"/>
    <col min="6" max="6" width="9.42578125" style="1" hidden="1" customWidth="1"/>
    <col min="7" max="7" width="15.5703125" style="1" customWidth="1"/>
    <col min="8" max="8" width="13" style="1" customWidth="1"/>
    <col min="9" max="9" width="13.42578125" style="1" customWidth="1"/>
    <col min="10" max="10" width="13.85546875" style="1" customWidth="1"/>
    <col min="11" max="11" width="11.28515625" style="1" customWidth="1"/>
    <col min="12" max="12" width="15.5703125" style="1" customWidth="1"/>
    <col min="13" max="13" width="19.5703125" style="1" customWidth="1"/>
    <col min="14" max="14" width="16.85546875" style="1" customWidth="1"/>
    <col min="15" max="15" width="15.7109375" style="1" customWidth="1"/>
    <col min="16" max="16" width="18" style="1" customWidth="1"/>
    <col min="17" max="17" width="13.7109375" style="1" customWidth="1"/>
    <col min="18" max="18" width="15.140625" style="1" customWidth="1"/>
    <col min="19" max="19" width="16.85546875" style="1" customWidth="1"/>
    <col min="20" max="20" width="17.28515625" style="1" customWidth="1"/>
    <col min="21" max="21" width="18.140625" style="1" customWidth="1"/>
    <col min="22" max="22" width="18.5703125" style="1" customWidth="1"/>
    <col min="23" max="23" width="20.85546875" style="1" customWidth="1"/>
    <col min="24" max="24" width="15" style="1" customWidth="1"/>
    <col min="25" max="25" width="17.28515625" style="1" customWidth="1"/>
    <col min="26" max="26" width="12.42578125" style="1" customWidth="1"/>
    <col min="27" max="27" width="18" style="1" customWidth="1"/>
    <col min="28" max="28" width="21.42578125" style="1" customWidth="1"/>
    <col min="29" max="29" width="0.7109375" style="1" customWidth="1"/>
    <col min="30" max="30" width="0.140625" style="1" hidden="1" customWidth="1"/>
    <col min="31" max="31" width="11.28515625" style="1" hidden="1" customWidth="1"/>
    <col min="32" max="32" width="19.85546875" style="1" hidden="1" customWidth="1"/>
    <col min="33" max="34" width="9.140625" style="1" hidden="1" customWidth="1"/>
    <col min="35" max="35" width="21.7109375" style="1" hidden="1" customWidth="1"/>
    <col min="36" max="36" width="0.85546875" style="1" customWidth="1"/>
    <col min="37" max="37" width="7.5703125" style="1" customWidth="1"/>
    <col min="38" max="38" width="13.5703125" style="1" customWidth="1"/>
    <col min="39" max="16384" width="9.140625" style="1"/>
  </cols>
  <sheetData>
    <row r="1" spans="1:38" ht="30" customHeight="1" x14ac:dyDescent="0.4">
      <c r="B1" s="3"/>
      <c r="Y1" s="256"/>
      <c r="Z1" s="256"/>
      <c r="AB1" s="30"/>
    </row>
    <row r="2" spans="1:38" ht="15" customHeight="1" x14ac:dyDescent="0.4">
      <c r="B2" s="3"/>
      <c r="Y2" s="32"/>
      <c r="Z2" s="32"/>
      <c r="AB2" s="30"/>
    </row>
    <row r="3" spans="1:38" ht="27" customHeight="1" x14ac:dyDescent="0.4">
      <c r="A3" s="257" t="s">
        <v>103</v>
      </c>
      <c r="B3" s="257"/>
      <c r="C3" s="257"/>
      <c r="D3" s="257"/>
      <c r="E3" s="257"/>
      <c r="F3" s="257"/>
      <c r="G3" s="257"/>
      <c r="H3" s="257"/>
      <c r="Y3" s="33" t="s">
        <v>0</v>
      </c>
      <c r="Z3" s="34"/>
      <c r="AA3" s="29"/>
      <c r="AB3" s="31"/>
    </row>
    <row r="4" spans="1:38" ht="30" customHeight="1" x14ac:dyDescent="0.4">
      <c r="A4" s="257"/>
      <c r="B4" s="257"/>
      <c r="C4" s="257"/>
      <c r="D4" s="257"/>
      <c r="E4" s="257"/>
      <c r="F4" s="257"/>
      <c r="G4" s="257"/>
      <c r="H4" s="257"/>
      <c r="Y4" s="33" t="s">
        <v>17</v>
      </c>
      <c r="Z4" s="33"/>
      <c r="AA4" s="29"/>
      <c r="AB4" s="31"/>
    </row>
    <row r="5" spans="1:38" ht="33" customHeight="1" x14ac:dyDescent="0.4">
      <c r="A5" s="257"/>
      <c r="B5" s="257"/>
      <c r="C5" s="257"/>
      <c r="D5" s="257"/>
      <c r="E5" s="257"/>
      <c r="F5" s="257"/>
      <c r="G5" s="257"/>
      <c r="H5" s="257"/>
      <c r="Y5" s="33" t="s">
        <v>110</v>
      </c>
      <c r="Z5" s="33"/>
      <c r="AA5" s="29"/>
      <c r="AB5" s="31"/>
    </row>
    <row r="6" spans="1:38" ht="27.75" x14ac:dyDescent="0.4">
      <c r="A6" s="257"/>
      <c r="B6" s="257"/>
      <c r="C6" s="257"/>
      <c r="D6" s="257"/>
      <c r="E6" s="257"/>
      <c r="F6" s="257"/>
      <c r="G6" s="257"/>
      <c r="H6" s="257"/>
      <c r="Y6" s="33" t="s">
        <v>111</v>
      </c>
      <c r="Z6" s="33"/>
      <c r="AA6" s="29"/>
      <c r="AB6" s="31"/>
      <c r="AD6" s="16"/>
      <c r="AE6" s="16"/>
      <c r="AF6" s="16"/>
      <c r="AG6" s="16"/>
      <c r="AH6" s="16"/>
      <c r="AI6" s="16"/>
      <c r="AJ6" s="16"/>
      <c r="AK6" s="16"/>
      <c r="AL6" s="16"/>
    </row>
    <row r="7" spans="1:38" ht="13.5" customHeight="1" x14ac:dyDescent="0.25">
      <c r="AD7" s="16"/>
      <c r="AE7" s="16"/>
      <c r="AF7" s="16"/>
      <c r="AG7" s="16"/>
      <c r="AH7" s="16"/>
      <c r="AI7" s="16"/>
      <c r="AJ7" s="16"/>
      <c r="AK7" s="16"/>
      <c r="AL7" s="16"/>
    </row>
    <row r="8" spans="1:38" ht="27" x14ac:dyDescent="0.35">
      <c r="A8" s="255" t="s">
        <v>1</v>
      </c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D8" s="259"/>
      <c r="AE8" s="259"/>
      <c r="AF8" s="259"/>
      <c r="AG8" s="16"/>
      <c r="AH8" s="16"/>
      <c r="AI8" s="259"/>
      <c r="AJ8" s="259"/>
      <c r="AK8" s="259"/>
      <c r="AL8" s="16"/>
    </row>
    <row r="9" spans="1:38" ht="27" x14ac:dyDescent="0.35">
      <c r="A9" s="255" t="s">
        <v>112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D9" s="16"/>
      <c r="AE9" s="16"/>
      <c r="AF9" s="16"/>
      <c r="AG9" s="16"/>
      <c r="AH9" s="16"/>
      <c r="AI9" s="16"/>
      <c r="AJ9" s="16"/>
      <c r="AK9" s="16"/>
      <c r="AL9" s="16"/>
    </row>
    <row r="10" spans="1:38" ht="24" customHeight="1" x14ac:dyDescent="0.25">
      <c r="AD10" s="260"/>
      <c r="AE10" s="260"/>
      <c r="AF10" s="16"/>
      <c r="AG10" s="16"/>
      <c r="AH10" s="16"/>
      <c r="AI10" s="260"/>
      <c r="AJ10" s="260"/>
      <c r="AK10" s="16"/>
      <c r="AL10" s="16"/>
    </row>
    <row r="11" spans="1:38" ht="22.9" customHeight="1" x14ac:dyDescent="0.25">
      <c r="A11" s="200" t="s">
        <v>2</v>
      </c>
      <c r="B11" s="236" t="s">
        <v>3</v>
      </c>
      <c r="C11" s="200" t="s">
        <v>9</v>
      </c>
      <c r="D11" s="200" t="s">
        <v>10</v>
      </c>
      <c r="E11" s="200" t="s">
        <v>11</v>
      </c>
      <c r="F11" s="200" t="s">
        <v>12</v>
      </c>
      <c r="G11" s="261" t="s">
        <v>13</v>
      </c>
      <c r="H11" s="261" t="s">
        <v>23</v>
      </c>
      <c r="I11" s="261" t="s">
        <v>25</v>
      </c>
      <c r="J11" s="261" t="s">
        <v>24</v>
      </c>
      <c r="K11" s="261" t="s">
        <v>19</v>
      </c>
      <c r="L11" s="266" t="s">
        <v>244</v>
      </c>
      <c r="M11" s="269" t="s">
        <v>7</v>
      </c>
      <c r="N11" s="269" t="s">
        <v>6</v>
      </c>
      <c r="O11" s="266" t="s">
        <v>169</v>
      </c>
      <c r="P11" s="261" t="s">
        <v>98</v>
      </c>
      <c r="Q11" s="269" t="s">
        <v>14</v>
      </c>
      <c r="R11" s="269" t="s">
        <v>16</v>
      </c>
      <c r="S11" s="266" t="s">
        <v>22</v>
      </c>
      <c r="T11" s="261" t="s">
        <v>21</v>
      </c>
      <c r="U11" s="261" t="s">
        <v>18</v>
      </c>
      <c r="V11" s="261" t="s">
        <v>101</v>
      </c>
      <c r="W11" s="261" t="s">
        <v>99</v>
      </c>
      <c r="X11" s="261" t="s">
        <v>100</v>
      </c>
      <c r="Y11" s="261" t="s">
        <v>26</v>
      </c>
      <c r="Z11" s="183" t="s">
        <v>8</v>
      </c>
      <c r="AA11" s="183" t="s">
        <v>5</v>
      </c>
      <c r="AB11" s="258" t="s">
        <v>311</v>
      </c>
      <c r="AD11" s="260"/>
      <c r="AE11" s="260"/>
      <c r="AF11" s="16"/>
      <c r="AG11" s="16"/>
      <c r="AH11" s="16"/>
      <c r="AI11" s="260"/>
      <c r="AJ11" s="260"/>
      <c r="AK11" s="16"/>
      <c r="AL11" s="16"/>
    </row>
    <row r="12" spans="1:38" ht="92.25" customHeight="1" x14ac:dyDescent="0.25">
      <c r="A12" s="201"/>
      <c r="B12" s="247"/>
      <c r="C12" s="249"/>
      <c r="D12" s="249"/>
      <c r="E12" s="249"/>
      <c r="F12" s="249"/>
      <c r="G12" s="262"/>
      <c r="H12" s="264"/>
      <c r="I12" s="264"/>
      <c r="J12" s="264"/>
      <c r="K12" s="264"/>
      <c r="L12" s="267"/>
      <c r="M12" s="270"/>
      <c r="N12" s="270"/>
      <c r="O12" s="267"/>
      <c r="P12" s="264"/>
      <c r="Q12" s="270"/>
      <c r="R12" s="270" t="s">
        <v>15</v>
      </c>
      <c r="S12" s="267"/>
      <c r="T12" s="264"/>
      <c r="U12" s="264"/>
      <c r="V12" s="264"/>
      <c r="W12" s="264"/>
      <c r="X12" s="264"/>
      <c r="Y12" s="264"/>
      <c r="Z12" s="184"/>
      <c r="AA12" s="184"/>
      <c r="AB12" s="258"/>
      <c r="AD12" s="260"/>
      <c r="AE12" s="260"/>
      <c r="AF12" s="16"/>
      <c r="AG12" s="16"/>
      <c r="AH12" s="16"/>
      <c r="AI12" s="260"/>
      <c r="AJ12" s="260"/>
      <c r="AK12" s="16"/>
      <c r="AL12" s="16"/>
    </row>
    <row r="13" spans="1:38" ht="40.5" customHeight="1" x14ac:dyDescent="0.25">
      <c r="A13" s="202"/>
      <c r="B13" s="248"/>
      <c r="C13" s="250"/>
      <c r="D13" s="250"/>
      <c r="E13" s="250"/>
      <c r="F13" s="250"/>
      <c r="G13" s="263"/>
      <c r="H13" s="265"/>
      <c r="I13" s="265"/>
      <c r="J13" s="265"/>
      <c r="K13" s="265"/>
      <c r="L13" s="268"/>
      <c r="M13" s="271"/>
      <c r="N13" s="271"/>
      <c r="O13" s="268"/>
      <c r="P13" s="265"/>
      <c r="Q13" s="271"/>
      <c r="R13" s="271"/>
      <c r="S13" s="268"/>
      <c r="T13" s="265"/>
      <c r="U13" s="265"/>
      <c r="V13" s="265"/>
      <c r="W13" s="265"/>
      <c r="X13" s="265"/>
      <c r="Y13" s="265"/>
      <c r="Z13" s="185"/>
      <c r="AA13" s="185"/>
      <c r="AB13" s="258"/>
      <c r="AD13" s="260"/>
      <c r="AE13" s="260"/>
      <c r="AF13" s="16"/>
      <c r="AG13" s="16"/>
      <c r="AH13" s="16"/>
      <c r="AI13" s="260"/>
      <c r="AJ13" s="260"/>
      <c r="AK13" s="16"/>
      <c r="AL13" s="16"/>
    </row>
    <row r="14" spans="1:38" s="22" customFormat="1" x14ac:dyDescent="0.25">
      <c r="A14" s="20">
        <v>1</v>
      </c>
      <c r="B14" s="20">
        <v>2</v>
      </c>
      <c r="C14" s="21">
        <v>3</v>
      </c>
      <c r="D14" s="20">
        <v>4</v>
      </c>
      <c r="E14" s="20">
        <v>5</v>
      </c>
      <c r="F14" s="20">
        <v>6</v>
      </c>
      <c r="G14" s="20">
        <v>3</v>
      </c>
      <c r="H14" s="20">
        <v>4</v>
      </c>
      <c r="I14" s="20">
        <v>5</v>
      </c>
      <c r="J14" s="20">
        <v>6</v>
      </c>
      <c r="K14" s="20">
        <v>7</v>
      </c>
      <c r="L14" s="20">
        <v>8</v>
      </c>
      <c r="M14" s="20">
        <v>9</v>
      </c>
      <c r="N14" s="20">
        <v>10</v>
      </c>
      <c r="O14" s="20">
        <v>11</v>
      </c>
      <c r="P14" s="20">
        <v>12</v>
      </c>
      <c r="Q14" s="20">
        <v>13</v>
      </c>
      <c r="R14" s="20">
        <v>14</v>
      </c>
      <c r="S14" s="20">
        <v>15</v>
      </c>
      <c r="T14" s="20">
        <v>16</v>
      </c>
      <c r="U14" s="20">
        <v>17</v>
      </c>
      <c r="V14" s="20">
        <v>18</v>
      </c>
      <c r="W14" s="20">
        <v>19</v>
      </c>
      <c r="X14" s="20">
        <v>20</v>
      </c>
      <c r="Y14" s="20">
        <v>21</v>
      </c>
      <c r="Z14" s="20">
        <v>22</v>
      </c>
      <c r="AA14" s="20">
        <v>23</v>
      </c>
      <c r="AB14" s="20">
        <v>24</v>
      </c>
      <c r="AD14" s="39"/>
      <c r="AE14" s="39"/>
      <c r="AF14" s="39"/>
      <c r="AG14" s="39"/>
      <c r="AH14" s="39"/>
      <c r="AI14" s="39"/>
      <c r="AJ14" s="39"/>
      <c r="AK14" s="39"/>
      <c r="AL14" s="39"/>
    </row>
    <row r="15" spans="1:38" ht="25.5" customHeight="1" x14ac:dyDescent="0.25">
      <c r="A15" s="23">
        <v>1</v>
      </c>
      <c r="B15" s="24" t="s">
        <v>27</v>
      </c>
      <c r="C15" s="4">
        <v>100</v>
      </c>
      <c r="D15" s="4">
        <v>100</v>
      </c>
      <c r="E15" s="4">
        <v>105</v>
      </c>
      <c r="F15" s="4">
        <v>65</v>
      </c>
      <c r="G15" s="5">
        <v>370</v>
      </c>
      <c r="H15" s="6">
        <v>0</v>
      </c>
      <c r="I15" s="6">
        <v>0</v>
      </c>
      <c r="J15" s="6">
        <v>10</v>
      </c>
      <c r="K15" s="6">
        <v>0</v>
      </c>
      <c r="L15" s="8">
        <v>41865.316149999999</v>
      </c>
      <c r="M15" s="8">
        <v>11634.341149999998</v>
      </c>
      <c r="N15" s="8">
        <f>10076991.6666667/1000</f>
        <v>10076.9916666667</v>
      </c>
      <c r="O15" s="8">
        <f>(M15-N15)*100/N15</f>
        <v>15.454508000485863</v>
      </c>
      <c r="P15" s="4">
        <f>IF(O15&lt;=25,10,0)</f>
        <v>10</v>
      </c>
      <c r="Q15" s="45">
        <v>204.77214000000001</v>
      </c>
      <c r="R15" s="45">
        <v>270.42554999999999</v>
      </c>
      <c r="S15" s="7">
        <f>100*(R15-Q15)/Q15</f>
        <v>32.061690618655433</v>
      </c>
      <c r="T15" s="5">
        <v>0</v>
      </c>
      <c r="U15" s="5">
        <v>0</v>
      </c>
      <c r="V15" s="5">
        <v>5</v>
      </c>
      <c r="W15" s="5">
        <v>0</v>
      </c>
      <c r="X15" s="5">
        <v>5</v>
      </c>
      <c r="Y15" s="5">
        <v>10</v>
      </c>
      <c r="Z15" s="5">
        <f>G15/4-(H15+I15+J15+K15)+P15+T15-U15+V15-W15+X15+Y15</f>
        <v>112.5</v>
      </c>
      <c r="AA15" s="9">
        <f>ROUND(Z15/71,2)</f>
        <v>1.58</v>
      </c>
      <c r="AB15" s="38" t="s">
        <v>106</v>
      </c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25.5" customHeight="1" x14ac:dyDescent="0.3">
      <c r="A16" s="23">
        <v>2</v>
      </c>
      <c r="B16" s="24" t="s">
        <v>28</v>
      </c>
      <c r="C16" s="4">
        <v>85</v>
      </c>
      <c r="D16" s="4">
        <v>65</v>
      </c>
      <c r="E16" s="4">
        <v>60</v>
      </c>
      <c r="F16" s="4">
        <v>60</v>
      </c>
      <c r="G16" s="5">
        <v>270</v>
      </c>
      <c r="H16" s="6">
        <v>0</v>
      </c>
      <c r="I16" s="6">
        <v>0</v>
      </c>
      <c r="J16" s="6">
        <v>0</v>
      </c>
      <c r="K16" s="6">
        <v>0</v>
      </c>
      <c r="L16" s="8">
        <v>21065.432489999999</v>
      </c>
      <c r="M16" s="8">
        <v>7672.2995899999978</v>
      </c>
      <c r="N16" s="8">
        <v>4464.3776333333335</v>
      </c>
      <c r="O16" s="8">
        <f t="shared" ref="O16:O79" si="0">(M16-N16)*100/N16</f>
        <v>71.855972324443911</v>
      </c>
      <c r="P16" s="4">
        <f t="shared" ref="P16:P79" si="1">IF(O16&lt;=25,10,0)</f>
        <v>0</v>
      </c>
      <c r="Q16" s="45">
        <v>614.91713000000004</v>
      </c>
      <c r="R16" s="45">
        <v>611.90707999999995</v>
      </c>
      <c r="S16" s="7">
        <f t="shared" ref="S16:S79" si="2">100*(R16-Q16)/Q16</f>
        <v>-0.48950498419194988</v>
      </c>
      <c r="T16" s="5">
        <v>5</v>
      </c>
      <c r="U16" s="5">
        <v>-10</v>
      </c>
      <c r="V16" s="5">
        <v>5</v>
      </c>
      <c r="W16" s="5">
        <v>20</v>
      </c>
      <c r="X16" s="5">
        <v>5</v>
      </c>
      <c r="Y16" s="5">
        <v>10</v>
      </c>
      <c r="Z16" s="5">
        <f>G16/4-(H16+I16+J16+K16)+P16+T16+U16+V16-W16+X16+Y16</f>
        <v>62.5</v>
      </c>
      <c r="AA16" s="9">
        <f t="shared" ref="AA16:AA79" si="3">ROUND(Z16/71,2)</f>
        <v>0.88</v>
      </c>
      <c r="AB16" s="38" t="s">
        <v>107</v>
      </c>
      <c r="AD16" s="40"/>
      <c r="AE16" s="35"/>
      <c r="AF16" s="35"/>
      <c r="AG16" s="16"/>
      <c r="AH16" s="16"/>
      <c r="AI16" s="40"/>
      <c r="AJ16" s="35"/>
      <c r="AK16" s="35"/>
    </row>
    <row r="17" spans="1:38" ht="38.25" customHeight="1" x14ac:dyDescent="0.3">
      <c r="A17" s="23">
        <v>3</v>
      </c>
      <c r="B17" s="24" t="s">
        <v>29</v>
      </c>
      <c r="C17" s="4">
        <v>100</v>
      </c>
      <c r="D17" s="4">
        <v>100</v>
      </c>
      <c r="E17" s="4">
        <v>105</v>
      </c>
      <c r="F17" s="4">
        <v>35</v>
      </c>
      <c r="G17" s="5">
        <v>340</v>
      </c>
      <c r="H17" s="6">
        <v>0</v>
      </c>
      <c r="I17" s="6">
        <v>0</v>
      </c>
      <c r="J17" s="6">
        <v>0</v>
      </c>
      <c r="K17" s="6">
        <v>0</v>
      </c>
      <c r="L17" s="8">
        <v>47669.978739999999</v>
      </c>
      <c r="M17" s="8">
        <v>14143.803740000001</v>
      </c>
      <c r="N17" s="8">
        <v>11175.391666666666</v>
      </c>
      <c r="O17" s="8">
        <f t="shared" si="0"/>
        <v>26.562040614534776</v>
      </c>
      <c r="P17" s="4">
        <f t="shared" si="1"/>
        <v>0</v>
      </c>
      <c r="Q17" s="45">
        <v>148.94767000000002</v>
      </c>
      <c r="R17" s="45">
        <v>196.34207999999998</v>
      </c>
      <c r="S17" s="7">
        <f t="shared" si="2"/>
        <v>31.819504125173598</v>
      </c>
      <c r="T17" s="5">
        <v>0</v>
      </c>
      <c r="U17" s="5">
        <v>0</v>
      </c>
      <c r="V17" s="5">
        <v>5</v>
      </c>
      <c r="W17" s="5">
        <v>20</v>
      </c>
      <c r="X17" s="5">
        <v>5</v>
      </c>
      <c r="Y17" s="5">
        <v>10</v>
      </c>
      <c r="Z17" s="5">
        <f t="shared" ref="Z17:Z18" si="4">G17/4-(H17+I17+J17+K17)+P17+T17+U17+V17-W17+X17+Y17</f>
        <v>85</v>
      </c>
      <c r="AA17" s="9">
        <f t="shared" si="3"/>
        <v>1.2</v>
      </c>
      <c r="AB17" s="38" t="s">
        <v>108</v>
      </c>
      <c r="AD17" s="40"/>
      <c r="AE17" s="35"/>
      <c r="AF17" s="35"/>
      <c r="AG17" s="16"/>
      <c r="AH17" s="16"/>
      <c r="AI17" s="40"/>
      <c r="AJ17" s="35"/>
      <c r="AK17" s="35"/>
      <c r="AL17" s="16"/>
    </row>
    <row r="18" spans="1:38" ht="25.5" customHeight="1" x14ac:dyDescent="0.3">
      <c r="A18" s="23">
        <v>4</v>
      </c>
      <c r="B18" s="24" t="s">
        <v>30</v>
      </c>
      <c r="C18" s="4">
        <v>90</v>
      </c>
      <c r="D18" s="4">
        <v>95</v>
      </c>
      <c r="E18" s="4">
        <v>105</v>
      </c>
      <c r="F18" s="4">
        <v>65</v>
      </c>
      <c r="G18" s="5">
        <v>355</v>
      </c>
      <c r="H18" s="6">
        <v>0</v>
      </c>
      <c r="I18" s="6">
        <v>0</v>
      </c>
      <c r="J18" s="6">
        <v>0</v>
      </c>
      <c r="K18" s="6">
        <v>0</v>
      </c>
      <c r="L18" s="8">
        <v>17742.224710000002</v>
      </c>
      <c r="M18" s="8">
        <v>6066.1224300000013</v>
      </c>
      <c r="N18" s="8">
        <v>3892.0340933333332</v>
      </c>
      <c r="O18" s="8">
        <f t="shared" si="0"/>
        <v>55.859950980148533</v>
      </c>
      <c r="P18" s="4">
        <f t="shared" si="1"/>
        <v>0</v>
      </c>
      <c r="Q18" s="45">
        <v>274.3211</v>
      </c>
      <c r="R18" s="45">
        <v>2.5538600000000002</v>
      </c>
      <c r="S18" s="7">
        <f t="shared" si="2"/>
        <v>-99.069025313765522</v>
      </c>
      <c r="T18" s="5">
        <v>5</v>
      </c>
      <c r="U18" s="5">
        <v>0</v>
      </c>
      <c r="V18" s="5">
        <v>5</v>
      </c>
      <c r="W18" s="5">
        <v>10</v>
      </c>
      <c r="X18" s="5">
        <v>5</v>
      </c>
      <c r="Y18" s="5">
        <v>10</v>
      </c>
      <c r="Z18" s="5">
        <f t="shared" si="4"/>
        <v>103.75</v>
      </c>
      <c r="AA18" s="9">
        <f t="shared" si="3"/>
        <v>1.46</v>
      </c>
      <c r="AB18" s="176" t="s">
        <v>108</v>
      </c>
      <c r="AD18" s="35"/>
      <c r="AE18" s="35"/>
      <c r="AF18" s="35"/>
      <c r="AG18" s="16"/>
      <c r="AH18" s="16"/>
      <c r="AI18" s="35"/>
      <c r="AJ18" s="35"/>
      <c r="AK18" s="35"/>
    </row>
    <row r="19" spans="1:38" ht="25.5" customHeight="1" x14ac:dyDescent="0.3">
      <c r="A19" s="23">
        <v>5</v>
      </c>
      <c r="B19" s="24" t="s">
        <v>31</v>
      </c>
      <c r="C19" s="4">
        <v>90</v>
      </c>
      <c r="D19" s="4">
        <v>105</v>
      </c>
      <c r="E19" s="4">
        <v>105</v>
      </c>
      <c r="F19" s="4">
        <v>65</v>
      </c>
      <c r="G19" s="5">
        <v>365</v>
      </c>
      <c r="H19" s="6">
        <v>0</v>
      </c>
      <c r="I19" s="6">
        <v>0</v>
      </c>
      <c r="J19" s="6">
        <v>0</v>
      </c>
      <c r="K19" s="6">
        <v>0</v>
      </c>
      <c r="L19" s="8">
        <v>15831.962869999999</v>
      </c>
      <c r="M19" s="8">
        <v>4424.5878699999994</v>
      </c>
      <c r="N19" s="8">
        <f>3802458.33333333/1000</f>
        <v>3802.4583333333303</v>
      </c>
      <c r="O19" s="8">
        <f t="shared" si="0"/>
        <v>16.361245334706791</v>
      </c>
      <c r="P19" s="4">
        <f t="shared" si="1"/>
        <v>10</v>
      </c>
      <c r="Q19" s="45">
        <v>7.4307700000000008</v>
      </c>
      <c r="R19" s="45">
        <v>10.865320000000001</v>
      </c>
      <c r="S19" s="7">
        <f t="shared" si="2"/>
        <v>46.220647389166928</v>
      </c>
      <c r="T19" s="5">
        <v>0</v>
      </c>
      <c r="U19" s="5">
        <v>0</v>
      </c>
      <c r="V19" s="5">
        <v>5</v>
      </c>
      <c r="W19" s="5">
        <v>0</v>
      </c>
      <c r="X19" s="5">
        <v>5</v>
      </c>
      <c r="Y19" s="5">
        <v>10</v>
      </c>
      <c r="Z19" s="5">
        <f>G19/4-(H19+I19+J19+K19)+P19+T19-U19+V19-W19+X19+Y19</f>
        <v>121.25</v>
      </c>
      <c r="AA19" s="9">
        <f t="shared" si="3"/>
        <v>1.71</v>
      </c>
      <c r="AB19" s="38" t="s">
        <v>106</v>
      </c>
      <c r="AD19" s="35"/>
      <c r="AE19" s="36"/>
      <c r="AF19" s="35"/>
      <c r="AG19" s="16"/>
      <c r="AH19" s="16"/>
      <c r="AI19" s="35"/>
      <c r="AJ19" s="36"/>
      <c r="AK19" s="35"/>
      <c r="AL19" s="16"/>
    </row>
    <row r="20" spans="1:38" ht="25.5" customHeight="1" x14ac:dyDescent="0.3">
      <c r="A20" s="23">
        <v>6</v>
      </c>
      <c r="B20" s="24" t="s">
        <v>32</v>
      </c>
      <c r="C20" s="4">
        <v>100</v>
      </c>
      <c r="D20" s="4">
        <v>105</v>
      </c>
      <c r="E20" s="4">
        <v>105</v>
      </c>
      <c r="F20" s="4">
        <v>65</v>
      </c>
      <c r="G20" s="5">
        <v>375</v>
      </c>
      <c r="H20" s="6">
        <v>0</v>
      </c>
      <c r="I20" s="6">
        <v>0</v>
      </c>
      <c r="J20" s="6">
        <v>0</v>
      </c>
      <c r="K20" s="6">
        <v>0</v>
      </c>
      <c r="L20" s="8">
        <v>18395.11562</v>
      </c>
      <c r="M20" s="8">
        <v>5611.344720000001</v>
      </c>
      <c r="N20" s="8">
        <f>4261256.96666667/1000</f>
        <v>4261.2569666666695</v>
      </c>
      <c r="O20" s="8">
        <f t="shared" si="0"/>
        <v>31.682852357749869</v>
      </c>
      <c r="P20" s="4">
        <f t="shared" si="1"/>
        <v>0</v>
      </c>
      <c r="Q20" s="45">
        <v>96.827740000000006</v>
      </c>
      <c r="R20" s="45">
        <v>97.727720000000005</v>
      </c>
      <c r="S20" s="7">
        <f t="shared" si="2"/>
        <v>0.92946504792944595</v>
      </c>
      <c r="T20" s="5">
        <v>5</v>
      </c>
      <c r="U20" s="5">
        <v>0</v>
      </c>
      <c r="V20" s="5">
        <v>5</v>
      </c>
      <c r="W20" s="5">
        <v>10</v>
      </c>
      <c r="X20" s="5">
        <v>5</v>
      </c>
      <c r="Y20" s="5">
        <v>10</v>
      </c>
      <c r="Z20" s="5">
        <f t="shared" ref="Z20:Z24" si="5">G20/4-(H20+I20+J20+K20)+P20+T20+U20+V20-W20+X20+Y20</f>
        <v>108.75</v>
      </c>
      <c r="AA20" s="9">
        <f t="shared" si="3"/>
        <v>1.53</v>
      </c>
      <c r="AB20" s="38" t="s">
        <v>106</v>
      </c>
      <c r="AD20" s="35"/>
      <c r="AE20" s="35"/>
      <c r="AF20" s="35"/>
      <c r="AG20" s="16"/>
      <c r="AH20" s="16"/>
      <c r="AI20" s="35"/>
      <c r="AJ20" s="35"/>
      <c r="AK20" s="35"/>
      <c r="AL20" s="16"/>
    </row>
    <row r="21" spans="1:38" ht="25.5" x14ac:dyDescent="0.3">
      <c r="A21" s="23">
        <v>7</v>
      </c>
      <c r="B21" s="24" t="s">
        <v>33</v>
      </c>
      <c r="C21" s="4">
        <v>90</v>
      </c>
      <c r="D21" s="4">
        <v>75</v>
      </c>
      <c r="E21" s="4">
        <v>105</v>
      </c>
      <c r="F21" s="4">
        <v>55</v>
      </c>
      <c r="G21" s="5">
        <v>325</v>
      </c>
      <c r="H21" s="6">
        <v>0</v>
      </c>
      <c r="I21" s="6">
        <v>0</v>
      </c>
      <c r="J21" s="6">
        <v>0</v>
      </c>
      <c r="K21" s="6">
        <v>0</v>
      </c>
      <c r="L21" s="8">
        <v>19185.007870000001</v>
      </c>
      <c r="M21" s="8">
        <v>6094.7717200000006</v>
      </c>
      <c r="N21" s="8">
        <f>4363412.05/1000</f>
        <v>4363.4120499999999</v>
      </c>
      <c r="O21" s="8">
        <f t="shared" si="0"/>
        <v>39.679032146413967</v>
      </c>
      <c r="P21" s="4">
        <f t="shared" si="1"/>
        <v>0</v>
      </c>
      <c r="Q21" s="45">
        <v>635.99503000000004</v>
      </c>
      <c r="R21" s="45">
        <v>764.19725000000005</v>
      </c>
      <c r="S21" s="7">
        <f t="shared" si="2"/>
        <v>20.157739282962638</v>
      </c>
      <c r="T21" s="5">
        <v>0</v>
      </c>
      <c r="U21" s="5">
        <v>0</v>
      </c>
      <c r="V21" s="5">
        <v>-5</v>
      </c>
      <c r="W21" s="5">
        <v>10</v>
      </c>
      <c r="X21" s="5">
        <v>5</v>
      </c>
      <c r="Y21" s="5">
        <v>-5</v>
      </c>
      <c r="Z21" s="5">
        <f>G21/4-(H21+I21+J21+K21)+P21+T21+U21+V21-W21+X21+Y21</f>
        <v>66.25</v>
      </c>
      <c r="AA21" s="9">
        <f>ROUND(Z21/71,2)</f>
        <v>0.93</v>
      </c>
      <c r="AB21" s="38" t="s">
        <v>107</v>
      </c>
      <c r="AD21" s="35"/>
      <c r="AE21" s="37"/>
      <c r="AF21" s="41"/>
      <c r="AG21" s="16"/>
      <c r="AH21" s="16"/>
      <c r="AI21" s="35"/>
      <c r="AJ21" s="37"/>
      <c r="AK21" s="41"/>
      <c r="AL21" s="16"/>
    </row>
    <row r="22" spans="1:38" ht="38.25" customHeight="1" x14ac:dyDescent="0.3">
      <c r="A22" s="23">
        <v>8</v>
      </c>
      <c r="B22" s="24" t="s">
        <v>34</v>
      </c>
      <c r="C22" s="4">
        <v>100</v>
      </c>
      <c r="D22" s="4">
        <v>80</v>
      </c>
      <c r="E22" s="4">
        <v>95</v>
      </c>
      <c r="F22" s="4">
        <v>65</v>
      </c>
      <c r="G22" s="5">
        <v>340</v>
      </c>
      <c r="H22" s="6">
        <v>0</v>
      </c>
      <c r="I22" s="6">
        <v>0</v>
      </c>
      <c r="J22" s="6">
        <v>0</v>
      </c>
      <c r="K22" s="6">
        <v>0</v>
      </c>
      <c r="L22" s="8">
        <v>34616.408640000001</v>
      </c>
      <c r="M22" s="8">
        <v>11186.31625</v>
      </c>
      <c r="N22" s="8">
        <f>7810030.79666667/1000</f>
        <v>7810.0307966666696</v>
      </c>
      <c r="O22" s="8">
        <f t="shared" si="0"/>
        <v>43.230117028147099</v>
      </c>
      <c r="P22" s="4">
        <f t="shared" si="1"/>
        <v>0</v>
      </c>
      <c r="Q22" s="45">
        <v>311.61874</v>
      </c>
      <c r="R22" s="45">
        <v>234.77135999999999</v>
      </c>
      <c r="S22" s="7">
        <f t="shared" si="2"/>
        <v>-24.66070557887501</v>
      </c>
      <c r="T22" s="5">
        <v>5</v>
      </c>
      <c r="U22" s="5">
        <v>0</v>
      </c>
      <c r="V22" s="5">
        <v>5</v>
      </c>
      <c r="W22" s="5">
        <v>20</v>
      </c>
      <c r="X22" s="5">
        <v>5</v>
      </c>
      <c r="Y22" s="5">
        <v>10</v>
      </c>
      <c r="Z22" s="5">
        <f t="shared" si="5"/>
        <v>90</v>
      </c>
      <c r="AA22" s="9">
        <f t="shared" si="3"/>
        <v>1.27</v>
      </c>
      <c r="AB22" s="38" t="s">
        <v>108</v>
      </c>
      <c r="AD22" s="35"/>
      <c r="AE22" s="37"/>
      <c r="AF22" s="41"/>
      <c r="AG22" s="16"/>
      <c r="AH22" s="16"/>
      <c r="AI22" s="35"/>
      <c r="AJ22" s="37"/>
      <c r="AK22" s="35"/>
    </row>
    <row r="23" spans="1:38" ht="25.5" customHeight="1" x14ac:dyDescent="0.3">
      <c r="A23" s="23">
        <v>9</v>
      </c>
      <c r="B23" s="24" t="s">
        <v>35</v>
      </c>
      <c r="C23" s="4">
        <v>100</v>
      </c>
      <c r="D23" s="4">
        <v>65</v>
      </c>
      <c r="E23" s="4">
        <v>105</v>
      </c>
      <c r="F23" s="4">
        <v>65</v>
      </c>
      <c r="G23" s="5">
        <v>335</v>
      </c>
      <c r="H23" s="6">
        <v>0</v>
      </c>
      <c r="I23" s="6">
        <v>0</v>
      </c>
      <c r="J23" s="6">
        <v>0</v>
      </c>
      <c r="K23" s="6">
        <v>0</v>
      </c>
      <c r="L23" s="8">
        <v>26000.464609999999</v>
      </c>
      <c r="M23" s="8">
        <v>8850.7608499999969</v>
      </c>
      <c r="N23" s="8">
        <f>5716567.92/1000</f>
        <v>5716.5679199999995</v>
      </c>
      <c r="O23" s="8">
        <f t="shared" si="0"/>
        <v>54.826479346719587</v>
      </c>
      <c r="P23" s="4">
        <f t="shared" si="1"/>
        <v>0</v>
      </c>
      <c r="Q23" s="45">
        <v>1160.3244999999999</v>
      </c>
      <c r="R23" s="45">
        <v>1276.4109599999999</v>
      </c>
      <c r="S23" s="7">
        <f t="shared" si="2"/>
        <v>10.004654732361507</v>
      </c>
      <c r="T23" s="5">
        <v>0</v>
      </c>
      <c r="U23" s="5">
        <v>0</v>
      </c>
      <c r="V23" s="5">
        <v>5</v>
      </c>
      <c r="W23" s="5">
        <v>10</v>
      </c>
      <c r="X23" s="5">
        <v>5</v>
      </c>
      <c r="Y23" s="5">
        <v>10</v>
      </c>
      <c r="Z23" s="5">
        <f t="shared" si="5"/>
        <v>93.75</v>
      </c>
      <c r="AA23" s="9">
        <f t="shared" si="3"/>
        <v>1.32</v>
      </c>
      <c r="AB23" s="38" t="s">
        <v>108</v>
      </c>
      <c r="AD23" s="35"/>
      <c r="AE23" s="37"/>
      <c r="AF23" s="43"/>
      <c r="AG23" s="16"/>
      <c r="AH23" s="16"/>
      <c r="AI23" s="35"/>
      <c r="AJ23" s="37"/>
      <c r="AK23" s="35"/>
      <c r="AL23" s="16"/>
    </row>
    <row r="24" spans="1:38" ht="25.5" customHeight="1" x14ac:dyDescent="0.3">
      <c r="A24" s="23">
        <v>10</v>
      </c>
      <c r="B24" s="24" t="s">
        <v>36</v>
      </c>
      <c r="C24" s="4">
        <v>100</v>
      </c>
      <c r="D24" s="4">
        <v>100</v>
      </c>
      <c r="E24" s="4">
        <v>105</v>
      </c>
      <c r="F24" s="4">
        <v>65</v>
      </c>
      <c r="G24" s="5">
        <v>370</v>
      </c>
      <c r="H24" s="6">
        <v>0</v>
      </c>
      <c r="I24" s="6">
        <v>0</v>
      </c>
      <c r="J24" s="6">
        <v>0</v>
      </c>
      <c r="K24" s="6">
        <v>0</v>
      </c>
      <c r="L24" s="8">
        <v>24916.945920000002</v>
      </c>
      <c r="M24" s="8">
        <v>7535.8709200000021</v>
      </c>
      <c r="N24" s="8">
        <f>5793691.66666667/1000</f>
        <v>5793.6916666666693</v>
      </c>
      <c r="O24" s="8">
        <f t="shared" si="0"/>
        <v>30.070279082277686</v>
      </c>
      <c r="P24" s="4">
        <f t="shared" si="1"/>
        <v>0</v>
      </c>
      <c r="Q24" s="45">
        <v>10.2265</v>
      </c>
      <c r="R24" s="45">
        <v>3.43371</v>
      </c>
      <c r="S24" s="7">
        <f t="shared" si="2"/>
        <v>-66.423409768738082</v>
      </c>
      <c r="T24" s="5">
        <v>5</v>
      </c>
      <c r="U24" s="5">
        <v>0</v>
      </c>
      <c r="V24" s="5">
        <v>5</v>
      </c>
      <c r="W24" s="5">
        <v>10</v>
      </c>
      <c r="X24" s="5">
        <v>5</v>
      </c>
      <c r="Y24" s="5">
        <v>10</v>
      </c>
      <c r="Z24" s="5">
        <f t="shared" si="5"/>
        <v>107.5</v>
      </c>
      <c r="AA24" s="9">
        <f t="shared" si="3"/>
        <v>1.51</v>
      </c>
      <c r="AB24" s="38" t="s">
        <v>106</v>
      </c>
      <c r="AD24" s="42"/>
      <c r="AE24" s="35"/>
      <c r="AF24" s="43"/>
      <c r="AG24" s="16"/>
      <c r="AH24" s="16"/>
      <c r="AI24" s="42"/>
      <c r="AJ24" s="36"/>
      <c r="AK24" s="35"/>
    </row>
    <row r="25" spans="1:38" ht="25.5" customHeight="1" x14ac:dyDescent="0.3">
      <c r="A25" s="23">
        <v>11</v>
      </c>
      <c r="B25" s="24" t="s">
        <v>37</v>
      </c>
      <c r="C25" s="4">
        <v>100</v>
      </c>
      <c r="D25" s="4">
        <v>105</v>
      </c>
      <c r="E25" s="4">
        <v>105</v>
      </c>
      <c r="F25" s="4">
        <v>65</v>
      </c>
      <c r="G25" s="5">
        <v>375</v>
      </c>
      <c r="H25" s="6">
        <v>0</v>
      </c>
      <c r="I25" s="6">
        <v>0</v>
      </c>
      <c r="J25" s="6">
        <v>0</v>
      </c>
      <c r="K25" s="6">
        <v>0</v>
      </c>
      <c r="L25" s="8">
        <v>83525.761109999992</v>
      </c>
      <c r="M25" s="8">
        <v>25880.71111</v>
      </c>
      <c r="N25" s="8">
        <f>19215016.6666667/1000</f>
        <v>19215.016666666703</v>
      </c>
      <c r="O25" s="8">
        <f t="shared" si="0"/>
        <v>34.690026862670528</v>
      </c>
      <c r="P25" s="4">
        <f t="shared" si="1"/>
        <v>0</v>
      </c>
      <c r="Q25" s="45">
        <v>924.40611999999999</v>
      </c>
      <c r="R25" s="45">
        <v>948.85670999999991</v>
      </c>
      <c r="S25" s="7">
        <f t="shared" si="2"/>
        <v>2.6450052061533214</v>
      </c>
      <c r="T25" s="5">
        <v>5</v>
      </c>
      <c r="U25" s="5">
        <v>0</v>
      </c>
      <c r="V25" s="5">
        <v>5</v>
      </c>
      <c r="W25" s="5">
        <v>0</v>
      </c>
      <c r="X25" s="5">
        <v>5</v>
      </c>
      <c r="Y25" s="5">
        <v>10</v>
      </c>
      <c r="Z25" s="5">
        <f t="shared" ref="Z25:Z76" si="6">G25/4-(H25+I25+J25+K25)+P25+T25-U25+V25-W25+X25+Y25</f>
        <v>118.75</v>
      </c>
      <c r="AA25" s="9">
        <f t="shared" si="3"/>
        <v>1.67</v>
      </c>
      <c r="AB25" s="38" t="s">
        <v>106</v>
      </c>
      <c r="AK25" s="35"/>
      <c r="AL25" s="16"/>
    </row>
    <row r="26" spans="1:38" ht="24.75" customHeight="1" x14ac:dyDescent="0.25">
      <c r="A26" s="23">
        <v>12</v>
      </c>
      <c r="B26" s="24" t="s">
        <v>38</v>
      </c>
      <c r="C26" s="4">
        <v>100</v>
      </c>
      <c r="D26" s="4">
        <v>100</v>
      </c>
      <c r="E26" s="4">
        <v>105</v>
      </c>
      <c r="F26" s="4">
        <v>65</v>
      </c>
      <c r="G26" s="5">
        <v>370</v>
      </c>
      <c r="H26" s="6">
        <v>0</v>
      </c>
      <c r="I26" s="6">
        <v>0</v>
      </c>
      <c r="J26" s="6">
        <v>0</v>
      </c>
      <c r="K26" s="6">
        <v>0</v>
      </c>
      <c r="L26" s="8">
        <v>83163.542569999991</v>
      </c>
      <c r="M26" s="8">
        <v>28695.417569999994</v>
      </c>
      <c r="N26" s="8">
        <f>18156041.6666667/1000</f>
        <v>18156.041666666701</v>
      </c>
      <c r="O26" s="8">
        <f t="shared" si="0"/>
        <v>58.048863826320108</v>
      </c>
      <c r="P26" s="4">
        <f t="shared" si="1"/>
        <v>0</v>
      </c>
      <c r="Q26" s="45">
        <v>49.275059999999996</v>
      </c>
      <c r="R26" s="45">
        <v>43.032839999999993</v>
      </c>
      <c r="S26" s="7">
        <f t="shared" si="2"/>
        <v>-12.668112428478025</v>
      </c>
      <c r="T26" s="5">
        <v>5</v>
      </c>
      <c r="U26" s="5">
        <v>-5</v>
      </c>
      <c r="V26" s="5">
        <v>5</v>
      </c>
      <c r="W26" s="158">
        <v>10</v>
      </c>
      <c r="X26" s="160">
        <v>5</v>
      </c>
      <c r="Y26" s="159">
        <v>10</v>
      </c>
      <c r="Z26" s="5">
        <f t="shared" ref="Z26:Z28" si="7">G26/4-(H26+I26+J26+K26)+P26+T26+U26+V26-W26+X26+Y26</f>
        <v>102.5</v>
      </c>
      <c r="AA26" s="9">
        <f t="shared" si="3"/>
        <v>1.44</v>
      </c>
      <c r="AB26" s="38" t="s">
        <v>108</v>
      </c>
    </row>
    <row r="27" spans="1:38" ht="25.5" customHeight="1" x14ac:dyDescent="0.25">
      <c r="A27" s="23">
        <v>13</v>
      </c>
      <c r="B27" s="24" t="s">
        <v>39</v>
      </c>
      <c r="C27" s="4">
        <v>95</v>
      </c>
      <c r="D27" s="4">
        <v>85</v>
      </c>
      <c r="E27" s="4">
        <v>95</v>
      </c>
      <c r="F27" s="4">
        <v>65</v>
      </c>
      <c r="G27" s="5">
        <v>340</v>
      </c>
      <c r="H27" s="6">
        <v>0</v>
      </c>
      <c r="I27" s="6">
        <v>0</v>
      </c>
      <c r="J27" s="6">
        <v>0</v>
      </c>
      <c r="K27" s="6">
        <v>0</v>
      </c>
      <c r="L27" s="8">
        <v>19695.685390000002</v>
      </c>
      <c r="M27" s="8">
        <v>5240.1111200000014</v>
      </c>
      <c r="N27" s="8">
        <f>4818524.75666667/1000</f>
        <v>4818.5247566666694</v>
      </c>
      <c r="O27" s="8">
        <f t="shared" si="0"/>
        <v>8.749282915897572</v>
      </c>
      <c r="P27" s="4">
        <f t="shared" si="1"/>
        <v>10</v>
      </c>
      <c r="Q27" s="45">
        <v>683.62473</v>
      </c>
      <c r="R27" s="45">
        <v>603.97506999999996</v>
      </c>
      <c r="S27" s="7">
        <f t="shared" si="2"/>
        <v>-11.651079386785794</v>
      </c>
      <c r="T27" s="5">
        <v>5</v>
      </c>
      <c r="U27" s="5">
        <v>0</v>
      </c>
      <c r="V27" s="5">
        <v>5</v>
      </c>
      <c r="W27" s="5">
        <v>20</v>
      </c>
      <c r="X27" s="5">
        <v>5</v>
      </c>
      <c r="Y27" s="5">
        <v>10</v>
      </c>
      <c r="Z27" s="5">
        <f t="shared" si="7"/>
        <v>100</v>
      </c>
      <c r="AA27" s="9">
        <f t="shared" si="3"/>
        <v>1.41</v>
      </c>
      <c r="AB27" s="38" t="s">
        <v>108</v>
      </c>
    </row>
    <row r="28" spans="1:38" ht="25.5" customHeight="1" x14ac:dyDescent="0.25">
      <c r="A28" s="23">
        <v>14</v>
      </c>
      <c r="B28" s="24" t="s">
        <v>40</v>
      </c>
      <c r="C28" s="4">
        <v>85</v>
      </c>
      <c r="D28" s="4">
        <v>65</v>
      </c>
      <c r="E28" s="4">
        <v>105</v>
      </c>
      <c r="F28" s="4">
        <v>65</v>
      </c>
      <c r="G28" s="5">
        <v>320</v>
      </c>
      <c r="H28" s="6">
        <v>0</v>
      </c>
      <c r="I28" s="6">
        <v>0</v>
      </c>
      <c r="J28" s="6">
        <v>0</v>
      </c>
      <c r="K28" s="6">
        <v>0</v>
      </c>
      <c r="L28" s="8">
        <v>15575.11526</v>
      </c>
      <c r="M28" s="8">
        <v>4213.9152599999998</v>
      </c>
      <c r="N28" s="8">
        <f>3787066.66666667/1000</f>
        <v>3787.0666666666698</v>
      </c>
      <c r="O28" s="8">
        <f t="shared" si="0"/>
        <v>11.271219413442145</v>
      </c>
      <c r="P28" s="4">
        <f t="shared" si="1"/>
        <v>10</v>
      </c>
      <c r="Q28" s="45">
        <v>5.5780600000000007</v>
      </c>
      <c r="R28" s="45">
        <v>3.4090599999999998</v>
      </c>
      <c r="S28" s="7">
        <f t="shared" si="2"/>
        <v>-38.884486721189816</v>
      </c>
      <c r="T28" s="5">
        <v>5</v>
      </c>
      <c r="U28" s="5">
        <v>0</v>
      </c>
      <c r="V28" s="5">
        <v>5</v>
      </c>
      <c r="W28" s="5">
        <v>10</v>
      </c>
      <c r="X28" s="5">
        <v>5</v>
      </c>
      <c r="Y28" s="5">
        <v>10</v>
      </c>
      <c r="Z28" s="5">
        <f t="shared" si="7"/>
        <v>105</v>
      </c>
      <c r="AA28" s="9">
        <f t="shared" si="3"/>
        <v>1.48</v>
      </c>
      <c r="AB28" s="38" t="s">
        <v>106</v>
      </c>
    </row>
    <row r="29" spans="1:38" ht="25.5" customHeight="1" x14ac:dyDescent="0.25">
      <c r="A29" s="23">
        <v>15</v>
      </c>
      <c r="B29" s="25" t="s">
        <v>41</v>
      </c>
      <c r="C29" s="4">
        <v>100</v>
      </c>
      <c r="D29" s="4">
        <v>105</v>
      </c>
      <c r="E29" s="4">
        <v>105</v>
      </c>
      <c r="F29" s="4">
        <v>55</v>
      </c>
      <c r="G29" s="5">
        <v>365</v>
      </c>
      <c r="H29" s="6">
        <v>0</v>
      </c>
      <c r="I29" s="6">
        <v>0</v>
      </c>
      <c r="J29" s="6">
        <v>0</v>
      </c>
      <c r="K29" s="6">
        <v>0</v>
      </c>
      <c r="L29" s="8">
        <v>47431.618670000003</v>
      </c>
      <c r="M29" s="8">
        <v>11375.343670000002</v>
      </c>
      <c r="N29" s="8">
        <f>12018758.3333333/1000</f>
        <v>12018.7583333333</v>
      </c>
      <c r="O29" s="8">
        <f t="shared" si="0"/>
        <v>-5.3534204240451926</v>
      </c>
      <c r="P29" s="4">
        <f t="shared" si="1"/>
        <v>10</v>
      </c>
      <c r="Q29" s="45">
        <v>1310.07656</v>
      </c>
      <c r="R29" s="45">
        <v>346.31483000000003</v>
      </c>
      <c r="S29" s="7">
        <f t="shared" si="2"/>
        <v>-73.565298351723811</v>
      </c>
      <c r="T29" s="5">
        <v>5</v>
      </c>
      <c r="U29" s="5">
        <v>0</v>
      </c>
      <c r="V29" s="5">
        <v>5</v>
      </c>
      <c r="W29" s="5">
        <v>20</v>
      </c>
      <c r="X29" s="5">
        <v>5</v>
      </c>
      <c r="Y29" s="5">
        <v>10</v>
      </c>
      <c r="Z29" s="5">
        <f>G29/4-(H29+I29+J29+K29)+P29+T29+U29+V29-W29+X29+Y29</f>
        <v>106.25</v>
      </c>
      <c r="AA29" s="9">
        <f t="shared" si="3"/>
        <v>1.5</v>
      </c>
      <c r="AB29" s="38" t="s">
        <v>106</v>
      </c>
    </row>
    <row r="30" spans="1:38" ht="25.5" customHeight="1" x14ac:dyDescent="0.25">
      <c r="A30" s="23">
        <v>16</v>
      </c>
      <c r="B30" s="24" t="s">
        <v>42</v>
      </c>
      <c r="C30" s="4">
        <v>85</v>
      </c>
      <c r="D30" s="4">
        <v>65</v>
      </c>
      <c r="E30" s="4">
        <v>85</v>
      </c>
      <c r="F30" s="4">
        <v>65</v>
      </c>
      <c r="G30" s="5">
        <v>300</v>
      </c>
      <c r="H30" s="6">
        <v>0</v>
      </c>
      <c r="I30" s="6">
        <v>0</v>
      </c>
      <c r="J30" s="6">
        <v>20</v>
      </c>
      <c r="K30" s="6">
        <v>0</v>
      </c>
      <c r="L30" s="8">
        <v>12530.928830000001</v>
      </c>
      <c r="M30" s="8">
        <v>4978.3440399999999</v>
      </c>
      <c r="N30" s="8">
        <f>2517528.26333333/1000</f>
        <v>2517.52826333333</v>
      </c>
      <c r="O30" s="8">
        <f t="shared" si="0"/>
        <v>97.747294936360717</v>
      </c>
      <c r="P30" s="4">
        <f t="shared" si="1"/>
        <v>0</v>
      </c>
      <c r="Q30" s="45">
        <v>13.878770000000001</v>
      </c>
      <c r="R30" s="45">
        <v>16.478060000000003</v>
      </c>
      <c r="S30" s="7">
        <f t="shared" si="2"/>
        <v>18.728532859900419</v>
      </c>
      <c r="T30" s="5">
        <v>0</v>
      </c>
      <c r="U30" s="5">
        <v>0</v>
      </c>
      <c r="V30" s="5">
        <v>5</v>
      </c>
      <c r="W30" s="5">
        <v>0</v>
      </c>
      <c r="X30" s="5">
        <v>5</v>
      </c>
      <c r="Y30" s="5">
        <v>10</v>
      </c>
      <c r="Z30" s="5">
        <f t="shared" si="6"/>
        <v>75</v>
      </c>
      <c r="AA30" s="9">
        <f t="shared" si="3"/>
        <v>1.06</v>
      </c>
      <c r="AB30" s="38" t="s">
        <v>107</v>
      </c>
      <c r="AD30" s="16"/>
      <c r="AE30" s="16"/>
      <c r="AF30" s="16"/>
      <c r="AG30" s="16"/>
      <c r="AH30" s="16"/>
      <c r="AI30" s="16"/>
      <c r="AJ30" s="16"/>
      <c r="AK30" s="16"/>
      <c r="AL30" s="16"/>
    </row>
    <row r="31" spans="1:38" ht="25.5" customHeight="1" x14ac:dyDescent="0.25">
      <c r="A31" s="23">
        <v>17</v>
      </c>
      <c r="B31" s="24" t="s">
        <v>43</v>
      </c>
      <c r="C31" s="4">
        <v>100</v>
      </c>
      <c r="D31" s="4">
        <v>90</v>
      </c>
      <c r="E31" s="4">
        <v>105</v>
      </c>
      <c r="F31" s="4">
        <v>65</v>
      </c>
      <c r="G31" s="5">
        <v>360</v>
      </c>
      <c r="H31" s="6">
        <v>0</v>
      </c>
      <c r="I31" s="6">
        <v>0</v>
      </c>
      <c r="J31" s="6">
        <v>0</v>
      </c>
      <c r="K31" s="6">
        <v>0</v>
      </c>
      <c r="L31" s="8">
        <v>18704.504489999999</v>
      </c>
      <c r="M31" s="8">
        <v>5298.4894899999981</v>
      </c>
      <c r="N31" s="8">
        <f>4468671.66666667/1000</f>
        <v>4468.6716666666698</v>
      </c>
      <c r="O31" s="8">
        <f t="shared" si="0"/>
        <v>18.569675403167778</v>
      </c>
      <c r="P31" s="4">
        <f t="shared" si="1"/>
        <v>10</v>
      </c>
      <c r="Q31" s="45">
        <v>422.88753000000003</v>
      </c>
      <c r="R31" s="45">
        <v>427.47908000000001</v>
      </c>
      <c r="S31" s="7">
        <f t="shared" si="2"/>
        <v>1.0857615025914771</v>
      </c>
      <c r="T31" s="5">
        <v>5</v>
      </c>
      <c r="U31" s="5">
        <v>0</v>
      </c>
      <c r="V31" s="5">
        <v>5</v>
      </c>
      <c r="W31" s="5">
        <v>20</v>
      </c>
      <c r="X31" s="5">
        <v>5</v>
      </c>
      <c r="Y31" s="5">
        <v>10</v>
      </c>
      <c r="Z31" s="5">
        <f>G31/4-(H31+I31+J31+K31)+P31+T31+U31+V31-W31+X31+Y31</f>
        <v>105</v>
      </c>
      <c r="AA31" s="9">
        <f t="shared" si="3"/>
        <v>1.48</v>
      </c>
      <c r="AB31" s="38" t="s">
        <v>106</v>
      </c>
      <c r="AD31" s="16"/>
      <c r="AE31" s="90"/>
      <c r="AF31" s="16"/>
      <c r="AG31" s="16"/>
      <c r="AH31" s="16"/>
      <c r="AI31" s="16"/>
      <c r="AJ31" s="16"/>
      <c r="AK31" s="16"/>
      <c r="AL31" s="16"/>
    </row>
    <row r="32" spans="1:38" ht="25.5" customHeight="1" x14ac:dyDescent="0.25">
      <c r="A32" s="23">
        <v>18</v>
      </c>
      <c r="B32" s="24" t="s">
        <v>44</v>
      </c>
      <c r="C32" s="4">
        <v>95</v>
      </c>
      <c r="D32" s="4">
        <v>105</v>
      </c>
      <c r="E32" s="4">
        <v>105</v>
      </c>
      <c r="F32" s="4">
        <v>65</v>
      </c>
      <c r="G32" s="5">
        <v>370</v>
      </c>
      <c r="H32" s="6">
        <v>0</v>
      </c>
      <c r="I32" s="6">
        <v>0</v>
      </c>
      <c r="J32" s="6">
        <v>0</v>
      </c>
      <c r="K32" s="6">
        <v>0</v>
      </c>
      <c r="L32" s="8">
        <v>13300.87206</v>
      </c>
      <c r="M32" s="8">
        <v>3759.3970600000007</v>
      </c>
      <c r="N32" s="8">
        <f>3180491.66666667/1000</f>
        <v>3180.49166666667</v>
      </c>
      <c r="O32" s="8">
        <f t="shared" si="0"/>
        <v>18.201757904307147</v>
      </c>
      <c r="P32" s="4">
        <f t="shared" si="1"/>
        <v>10</v>
      </c>
      <c r="Q32" s="45">
        <v>5.9453999999999994</v>
      </c>
      <c r="R32" s="45">
        <v>2.3575300000000001</v>
      </c>
      <c r="S32" s="7">
        <f t="shared" si="2"/>
        <v>-60.346990950987312</v>
      </c>
      <c r="T32" s="5">
        <v>5</v>
      </c>
      <c r="U32" s="5">
        <v>-10</v>
      </c>
      <c r="V32" s="5">
        <v>5</v>
      </c>
      <c r="W32" s="5">
        <v>0</v>
      </c>
      <c r="X32" s="5">
        <v>5</v>
      </c>
      <c r="Y32" s="5">
        <v>10</v>
      </c>
      <c r="Z32" s="5">
        <f t="shared" si="6"/>
        <v>137.5</v>
      </c>
      <c r="AA32" s="9">
        <f>ROUND(Z32/71,2)</f>
        <v>1.94</v>
      </c>
      <c r="AB32" s="38" t="s">
        <v>106</v>
      </c>
    </row>
    <row r="33" spans="1:28" ht="25.5" customHeight="1" x14ac:dyDescent="0.25">
      <c r="A33" s="23">
        <v>19</v>
      </c>
      <c r="B33" s="24" t="s">
        <v>45</v>
      </c>
      <c r="C33" s="4">
        <v>90</v>
      </c>
      <c r="D33" s="4">
        <v>75</v>
      </c>
      <c r="E33" s="4">
        <v>75</v>
      </c>
      <c r="F33" s="4">
        <v>65</v>
      </c>
      <c r="G33" s="5">
        <v>305</v>
      </c>
      <c r="H33" s="6">
        <v>0</v>
      </c>
      <c r="I33" s="6">
        <v>0</v>
      </c>
      <c r="J33" s="6">
        <v>10</v>
      </c>
      <c r="K33" s="6">
        <v>0</v>
      </c>
      <c r="L33" s="8">
        <v>35183.143689999997</v>
      </c>
      <c r="M33" s="8">
        <v>12215.166559999998</v>
      </c>
      <c r="N33" s="8">
        <f>7655992.37666667/1000</f>
        <v>7655.9923766666698</v>
      </c>
      <c r="O33" s="8">
        <f t="shared" si="0"/>
        <v>59.550401293873016</v>
      </c>
      <c r="P33" s="4">
        <f t="shared" si="1"/>
        <v>0</v>
      </c>
      <c r="Q33" s="45">
        <v>42.056640000000002</v>
      </c>
      <c r="R33" s="45">
        <v>57.93694</v>
      </c>
      <c r="S33" s="7">
        <f t="shared" si="2"/>
        <v>37.759316959224506</v>
      </c>
      <c r="T33" s="5">
        <v>0</v>
      </c>
      <c r="U33" s="5">
        <v>0</v>
      </c>
      <c r="V33" s="5">
        <v>5</v>
      </c>
      <c r="W33" s="5">
        <v>20</v>
      </c>
      <c r="X33" s="5">
        <v>5</v>
      </c>
      <c r="Y33" s="5">
        <v>10</v>
      </c>
      <c r="Z33" s="5">
        <f t="shared" ref="Z33:Z37" si="8">G33/4-(H33+I33+J33+K33)+P33+T33+U33+V33-W33+X33+Y33</f>
        <v>66.25</v>
      </c>
      <c r="AA33" s="9">
        <f t="shared" si="3"/>
        <v>0.93</v>
      </c>
      <c r="AB33" s="38" t="s">
        <v>107</v>
      </c>
    </row>
    <row r="34" spans="1:28" ht="25.5" customHeight="1" x14ac:dyDescent="0.25">
      <c r="A34" s="23">
        <v>20</v>
      </c>
      <c r="B34" s="24" t="s">
        <v>46</v>
      </c>
      <c r="C34" s="4">
        <v>80</v>
      </c>
      <c r="D34" s="4">
        <v>85</v>
      </c>
      <c r="E34" s="4">
        <v>105</v>
      </c>
      <c r="F34" s="4">
        <v>65</v>
      </c>
      <c r="G34" s="5">
        <v>335</v>
      </c>
      <c r="H34" s="6">
        <v>0</v>
      </c>
      <c r="I34" s="6">
        <v>0</v>
      </c>
      <c r="J34" s="6">
        <v>20</v>
      </c>
      <c r="K34" s="6">
        <v>0</v>
      </c>
      <c r="L34" s="8">
        <v>10848.007300000001</v>
      </c>
      <c r="M34" s="8">
        <v>3429.2313100000006</v>
      </c>
      <c r="N34" s="8">
        <f>2472925.33/1000</f>
        <v>2472.92533</v>
      </c>
      <c r="O34" s="8">
        <f t="shared" si="0"/>
        <v>38.671041474592386</v>
      </c>
      <c r="P34" s="4">
        <f t="shared" si="1"/>
        <v>0</v>
      </c>
      <c r="Q34" s="45">
        <v>1.54518</v>
      </c>
      <c r="R34" s="45">
        <v>0.82835000000000003</v>
      </c>
      <c r="S34" s="7">
        <f t="shared" si="2"/>
        <v>-46.391358935528544</v>
      </c>
      <c r="T34" s="5">
        <v>5</v>
      </c>
      <c r="U34" s="5">
        <v>0</v>
      </c>
      <c r="V34" s="5">
        <v>5</v>
      </c>
      <c r="W34" s="5">
        <v>20</v>
      </c>
      <c r="X34" s="5">
        <v>5</v>
      </c>
      <c r="Y34" s="5">
        <v>10</v>
      </c>
      <c r="Z34" s="5">
        <f t="shared" si="8"/>
        <v>68.75</v>
      </c>
      <c r="AA34" s="9">
        <f t="shared" si="3"/>
        <v>0.97</v>
      </c>
      <c r="AB34" s="38" t="s">
        <v>107</v>
      </c>
    </row>
    <row r="35" spans="1:28" ht="25.5" x14ac:dyDescent="0.25">
      <c r="A35" s="23">
        <v>21</v>
      </c>
      <c r="B35" s="24" t="s">
        <v>47</v>
      </c>
      <c r="C35" s="4">
        <v>90</v>
      </c>
      <c r="D35" s="4">
        <v>85</v>
      </c>
      <c r="E35" s="4">
        <v>60</v>
      </c>
      <c r="F35" s="4">
        <v>45</v>
      </c>
      <c r="G35" s="5">
        <v>280</v>
      </c>
      <c r="H35" s="6">
        <v>0</v>
      </c>
      <c r="I35" s="6">
        <v>0</v>
      </c>
      <c r="J35" s="6">
        <v>20</v>
      </c>
      <c r="K35" s="6">
        <v>0</v>
      </c>
      <c r="L35" s="8">
        <v>31764.69368</v>
      </c>
      <c r="M35" s="8">
        <v>9839.1186799999996</v>
      </c>
      <c r="N35" s="8">
        <f>7308525/1000</f>
        <v>7308.5249999999996</v>
      </c>
      <c r="O35" s="8">
        <f t="shared" si="0"/>
        <v>34.625231219705753</v>
      </c>
      <c r="P35" s="4">
        <f t="shared" si="1"/>
        <v>0</v>
      </c>
      <c r="Q35" s="45">
        <v>415.04409999999996</v>
      </c>
      <c r="R35" s="45">
        <v>425.34264000000002</v>
      </c>
      <c r="S35" s="7">
        <f t="shared" si="2"/>
        <v>2.4813122268212124</v>
      </c>
      <c r="T35" s="5">
        <v>5</v>
      </c>
      <c r="U35" s="5">
        <v>0</v>
      </c>
      <c r="V35" s="5">
        <v>5</v>
      </c>
      <c r="W35" s="5">
        <v>20</v>
      </c>
      <c r="X35" s="5">
        <v>5</v>
      </c>
      <c r="Y35" s="5">
        <v>10</v>
      </c>
      <c r="Z35" s="5">
        <f>G35/4-(H35+I35+J35+K35)+P35+T35+U35+V35-W35+X35+Y35</f>
        <v>55</v>
      </c>
      <c r="AA35" s="9">
        <f>ROUND(Z35/71,2)</f>
        <v>0.77</v>
      </c>
      <c r="AB35" s="38" t="s">
        <v>104</v>
      </c>
    </row>
    <row r="36" spans="1:28" ht="25.5" customHeight="1" x14ac:dyDescent="0.25">
      <c r="A36" s="23">
        <v>22</v>
      </c>
      <c r="B36" s="24" t="s">
        <v>48</v>
      </c>
      <c r="C36" s="4">
        <v>100</v>
      </c>
      <c r="D36" s="4">
        <v>90</v>
      </c>
      <c r="E36" s="4">
        <v>105</v>
      </c>
      <c r="F36" s="4">
        <v>65</v>
      </c>
      <c r="G36" s="5">
        <v>360</v>
      </c>
      <c r="H36" s="6">
        <v>0</v>
      </c>
      <c r="I36" s="6">
        <v>0</v>
      </c>
      <c r="J36" s="6">
        <v>0</v>
      </c>
      <c r="K36" s="6">
        <v>0</v>
      </c>
      <c r="L36" s="8">
        <v>19550.637409999999</v>
      </c>
      <c r="M36" s="8">
        <v>5180.5382300000001</v>
      </c>
      <c r="N36" s="8">
        <f>4790033.06/1000</f>
        <v>4790.0330599999998</v>
      </c>
      <c r="O36" s="8">
        <f t="shared" si="0"/>
        <v>8.1524525010272146</v>
      </c>
      <c r="P36" s="4">
        <f t="shared" si="1"/>
        <v>10</v>
      </c>
      <c r="Q36" s="45">
        <v>36.346589999999999</v>
      </c>
      <c r="R36" s="45">
        <v>341.99167999999997</v>
      </c>
      <c r="S36" s="7">
        <f t="shared" si="2"/>
        <v>840.91819892870274</v>
      </c>
      <c r="T36" s="5">
        <v>0</v>
      </c>
      <c r="U36" s="5">
        <v>0</v>
      </c>
      <c r="V36" s="5">
        <v>-5</v>
      </c>
      <c r="W36" s="5">
        <v>20</v>
      </c>
      <c r="X36" s="5">
        <v>5</v>
      </c>
      <c r="Y36" s="5">
        <v>10</v>
      </c>
      <c r="Z36" s="5">
        <f t="shared" si="8"/>
        <v>90</v>
      </c>
      <c r="AA36" s="9">
        <f t="shared" si="3"/>
        <v>1.27</v>
      </c>
      <c r="AB36" s="38" t="s">
        <v>108</v>
      </c>
    </row>
    <row r="37" spans="1:28" ht="25.5" customHeight="1" x14ac:dyDescent="0.25">
      <c r="A37" s="23">
        <v>23</v>
      </c>
      <c r="B37" s="24" t="s">
        <v>49</v>
      </c>
      <c r="C37" s="4">
        <v>100</v>
      </c>
      <c r="D37" s="4">
        <v>100</v>
      </c>
      <c r="E37" s="4">
        <v>105</v>
      </c>
      <c r="F37" s="4">
        <v>55</v>
      </c>
      <c r="G37" s="5">
        <v>360</v>
      </c>
      <c r="H37" s="6">
        <v>0</v>
      </c>
      <c r="I37" s="6">
        <v>0</v>
      </c>
      <c r="J37" s="6">
        <v>0</v>
      </c>
      <c r="K37" s="6">
        <v>0</v>
      </c>
      <c r="L37" s="8">
        <v>16021.665300000001</v>
      </c>
      <c r="M37" s="8">
        <v>4858.5463000000009</v>
      </c>
      <c r="N37" s="8">
        <f>3721039.66666667/1000</f>
        <v>3721.0396666666697</v>
      </c>
      <c r="O37" s="8">
        <f t="shared" si="0"/>
        <v>30.569591706403834</v>
      </c>
      <c r="P37" s="4">
        <f t="shared" si="1"/>
        <v>0</v>
      </c>
      <c r="Q37" s="45">
        <v>91.020099999999999</v>
      </c>
      <c r="R37" s="45">
        <v>90.704630000000009</v>
      </c>
      <c r="S37" s="7">
        <f t="shared" si="2"/>
        <v>-0.34659377434214045</v>
      </c>
      <c r="T37" s="5">
        <v>5</v>
      </c>
      <c r="U37" s="5">
        <v>0</v>
      </c>
      <c r="V37" s="5">
        <v>5</v>
      </c>
      <c r="W37" s="5">
        <v>20</v>
      </c>
      <c r="X37" s="5">
        <v>5</v>
      </c>
      <c r="Y37" s="5">
        <v>10</v>
      </c>
      <c r="Z37" s="5">
        <f t="shared" si="8"/>
        <v>95</v>
      </c>
      <c r="AA37" s="9">
        <f t="shared" si="3"/>
        <v>1.34</v>
      </c>
      <c r="AB37" s="38" t="s">
        <v>108</v>
      </c>
    </row>
    <row r="38" spans="1:28" ht="25.5" customHeight="1" x14ac:dyDescent="0.25">
      <c r="A38" s="23">
        <v>24</v>
      </c>
      <c r="B38" s="24" t="s">
        <v>50</v>
      </c>
      <c r="C38" s="4">
        <v>90</v>
      </c>
      <c r="D38" s="4">
        <v>75</v>
      </c>
      <c r="E38" s="4">
        <v>95</v>
      </c>
      <c r="F38" s="4">
        <v>65</v>
      </c>
      <c r="G38" s="5">
        <v>325</v>
      </c>
      <c r="H38" s="6">
        <v>0</v>
      </c>
      <c r="I38" s="6">
        <v>0</v>
      </c>
      <c r="J38" s="6">
        <v>0</v>
      </c>
      <c r="K38" s="6">
        <v>0</v>
      </c>
      <c r="L38" s="8">
        <v>17043.76154</v>
      </c>
      <c r="M38" s="8">
        <v>5328.8924699999989</v>
      </c>
      <c r="N38" s="8">
        <f>3904956.35666667/1000</f>
        <v>3904.9563566666702</v>
      </c>
      <c r="O38" s="8">
        <f t="shared" si="0"/>
        <v>36.464840660826795</v>
      </c>
      <c r="P38" s="4">
        <f t="shared" si="1"/>
        <v>0</v>
      </c>
      <c r="Q38" s="45">
        <v>1049.7483300000001</v>
      </c>
      <c r="R38" s="45">
        <v>1179.9798999999998</v>
      </c>
      <c r="S38" s="7">
        <f t="shared" si="2"/>
        <v>12.405980202892982</v>
      </c>
      <c r="T38" s="5">
        <v>0</v>
      </c>
      <c r="U38" s="5">
        <v>0</v>
      </c>
      <c r="V38" s="5">
        <v>5</v>
      </c>
      <c r="W38" s="5">
        <v>0</v>
      </c>
      <c r="X38" s="5">
        <v>5</v>
      </c>
      <c r="Y38" s="5">
        <v>10</v>
      </c>
      <c r="Z38" s="5">
        <f t="shared" si="6"/>
        <v>101.25</v>
      </c>
      <c r="AA38" s="9">
        <f t="shared" si="3"/>
        <v>1.43</v>
      </c>
      <c r="AB38" s="38" t="s">
        <v>108</v>
      </c>
    </row>
    <row r="39" spans="1:28" ht="25.5" customHeight="1" x14ac:dyDescent="0.25">
      <c r="A39" s="23">
        <v>25</v>
      </c>
      <c r="B39" s="24" t="s">
        <v>51</v>
      </c>
      <c r="C39" s="4">
        <v>100</v>
      </c>
      <c r="D39" s="4">
        <v>105</v>
      </c>
      <c r="E39" s="4">
        <v>105</v>
      </c>
      <c r="F39" s="4">
        <v>65</v>
      </c>
      <c r="G39" s="5">
        <v>375</v>
      </c>
      <c r="H39" s="6">
        <v>0</v>
      </c>
      <c r="I39" s="6">
        <v>0</v>
      </c>
      <c r="J39" s="6">
        <v>0</v>
      </c>
      <c r="K39" s="6">
        <v>0</v>
      </c>
      <c r="L39" s="8">
        <v>14655.915509999999</v>
      </c>
      <c r="M39" s="8">
        <v>4044.9405099999999</v>
      </c>
      <c r="N39" s="8">
        <f>3536991.66666667/1000</f>
        <v>3536.99166666667</v>
      </c>
      <c r="O39" s="8">
        <f t="shared" si="0"/>
        <v>14.361041563098475</v>
      </c>
      <c r="P39" s="4">
        <f t="shared" si="1"/>
        <v>10</v>
      </c>
      <c r="Q39" s="45">
        <v>88.845579999999998</v>
      </c>
      <c r="R39" s="45">
        <v>88.84535000000001</v>
      </c>
      <c r="S39" s="7">
        <f t="shared" si="2"/>
        <v>-2.5887613090908967E-4</v>
      </c>
      <c r="T39" s="5">
        <v>5</v>
      </c>
      <c r="U39" s="5">
        <v>0</v>
      </c>
      <c r="V39" s="5">
        <v>5</v>
      </c>
      <c r="W39" s="5">
        <v>0</v>
      </c>
      <c r="X39" s="5">
        <v>5</v>
      </c>
      <c r="Y39" s="5">
        <v>10</v>
      </c>
      <c r="Z39" s="5">
        <f t="shared" si="6"/>
        <v>128.75</v>
      </c>
      <c r="AA39" s="9">
        <f t="shared" si="3"/>
        <v>1.81</v>
      </c>
      <c r="AB39" s="38" t="s">
        <v>106</v>
      </c>
    </row>
    <row r="40" spans="1:28" ht="25.5" customHeight="1" x14ac:dyDescent="0.25">
      <c r="A40" s="23">
        <v>26</v>
      </c>
      <c r="B40" s="24" t="s">
        <v>52</v>
      </c>
      <c r="C40" s="4">
        <v>100</v>
      </c>
      <c r="D40" s="4">
        <v>105</v>
      </c>
      <c r="E40" s="4">
        <v>105</v>
      </c>
      <c r="F40" s="4">
        <v>65</v>
      </c>
      <c r="G40" s="5">
        <v>375</v>
      </c>
      <c r="H40" s="6">
        <v>0</v>
      </c>
      <c r="I40" s="6">
        <v>0</v>
      </c>
      <c r="J40" s="6">
        <v>20</v>
      </c>
      <c r="K40" s="6">
        <v>0</v>
      </c>
      <c r="L40" s="8">
        <v>17537.00419</v>
      </c>
      <c r="M40" s="8">
        <v>5231.1291900000015</v>
      </c>
      <c r="N40" s="8">
        <f>4101958.33333333/1000</f>
        <v>4101.9583333333303</v>
      </c>
      <c r="O40" s="8">
        <f t="shared" si="0"/>
        <v>27.527604254065771</v>
      </c>
      <c r="P40" s="4">
        <f t="shared" si="1"/>
        <v>0</v>
      </c>
      <c r="Q40" s="45">
        <v>152.13091</v>
      </c>
      <c r="R40" s="45">
        <v>151.45713000000001</v>
      </c>
      <c r="S40" s="7">
        <f t="shared" si="2"/>
        <v>-0.44289487258045956</v>
      </c>
      <c r="T40" s="5">
        <v>5</v>
      </c>
      <c r="U40" s="5">
        <v>0</v>
      </c>
      <c r="V40" s="5">
        <v>5</v>
      </c>
      <c r="W40" s="5">
        <v>0</v>
      </c>
      <c r="X40" s="5">
        <v>5</v>
      </c>
      <c r="Y40" s="5">
        <v>10</v>
      </c>
      <c r="Z40" s="5">
        <f t="shared" si="6"/>
        <v>98.75</v>
      </c>
      <c r="AA40" s="9">
        <f t="shared" si="3"/>
        <v>1.39</v>
      </c>
      <c r="AB40" s="38" t="s">
        <v>108</v>
      </c>
    </row>
    <row r="41" spans="1:28" ht="38.25" customHeight="1" x14ac:dyDescent="0.25">
      <c r="A41" s="23">
        <v>27</v>
      </c>
      <c r="B41" s="24" t="s">
        <v>53</v>
      </c>
      <c r="C41" s="4">
        <v>90</v>
      </c>
      <c r="D41" s="4">
        <v>105</v>
      </c>
      <c r="E41" s="4">
        <v>95</v>
      </c>
      <c r="F41" s="4">
        <v>50</v>
      </c>
      <c r="G41" s="5">
        <v>340</v>
      </c>
      <c r="H41" s="6">
        <v>0</v>
      </c>
      <c r="I41" s="6">
        <v>0</v>
      </c>
      <c r="J41" s="6">
        <v>0</v>
      </c>
      <c r="K41" s="6">
        <v>0</v>
      </c>
      <c r="L41" s="8">
        <v>30908.406050000001</v>
      </c>
      <c r="M41" s="8">
        <v>8017.0321800000002</v>
      </c>
      <c r="N41" s="8">
        <f>7630457.95666667/1000</f>
        <v>7630.4579566666698</v>
      </c>
      <c r="O41" s="8">
        <f t="shared" si="0"/>
        <v>5.0661995063557557</v>
      </c>
      <c r="P41" s="4">
        <f t="shared" si="1"/>
        <v>10</v>
      </c>
      <c r="Q41" s="45">
        <v>38.883050000000004</v>
      </c>
      <c r="R41" s="45">
        <v>15.512229999999999</v>
      </c>
      <c r="S41" s="7">
        <f t="shared" si="2"/>
        <v>-60.105418685005425</v>
      </c>
      <c r="T41" s="5">
        <v>5</v>
      </c>
      <c r="U41" s="5">
        <v>0</v>
      </c>
      <c r="V41" s="5">
        <v>5</v>
      </c>
      <c r="W41" s="5">
        <v>10</v>
      </c>
      <c r="X41" s="5">
        <v>5</v>
      </c>
      <c r="Y41" s="5">
        <v>10</v>
      </c>
      <c r="Z41" s="5">
        <f t="shared" ref="Z41:Z43" si="9">G41/4-(H41+I41+J41+K41)+P41+T41+U41+V41-W41+X41+Y41</f>
        <v>110</v>
      </c>
      <c r="AA41" s="9">
        <f t="shared" si="3"/>
        <v>1.55</v>
      </c>
      <c r="AB41" s="38" t="s">
        <v>106</v>
      </c>
    </row>
    <row r="42" spans="1:28" ht="25.5" customHeight="1" x14ac:dyDescent="0.25">
      <c r="A42" s="23">
        <v>28</v>
      </c>
      <c r="B42" s="24" t="s">
        <v>54</v>
      </c>
      <c r="C42" s="4">
        <v>100</v>
      </c>
      <c r="D42" s="4">
        <v>95</v>
      </c>
      <c r="E42" s="4">
        <v>105</v>
      </c>
      <c r="F42" s="4">
        <v>55</v>
      </c>
      <c r="G42" s="5">
        <v>355</v>
      </c>
      <c r="H42" s="6">
        <v>0</v>
      </c>
      <c r="I42" s="6">
        <v>0</v>
      </c>
      <c r="J42" s="6">
        <v>0</v>
      </c>
      <c r="K42" s="6">
        <v>0</v>
      </c>
      <c r="L42" s="8">
        <v>39744.428140000004</v>
      </c>
      <c r="M42" s="8">
        <v>10338.753140000001</v>
      </c>
      <c r="N42" s="8">
        <f>9801891.66666667/1000</f>
        <v>9801.8916666666701</v>
      </c>
      <c r="O42" s="8">
        <f t="shared" si="0"/>
        <v>5.4771210659166689</v>
      </c>
      <c r="P42" s="4">
        <f t="shared" si="1"/>
        <v>10</v>
      </c>
      <c r="Q42" s="45">
        <v>75.098529999999997</v>
      </c>
      <c r="R42" s="45">
        <v>85.411740000000009</v>
      </c>
      <c r="S42" s="7">
        <f t="shared" si="2"/>
        <v>13.732905291222096</v>
      </c>
      <c r="T42" s="5">
        <v>0</v>
      </c>
      <c r="U42" s="5">
        <v>0</v>
      </c>
      <c r="V42" s="5">
        <v>5</v>
      </c>
      <c r="W42" s="5">
        <v>10</v>
      </c>
      <c r="X42" s="5">
        <v>5</v>
      </c>
      <c r="Y42" s="5">
        <v>10</v>
      </c>
      <c r="Z42" s="5">
        <f t="shared" si="9"/>
        <v>108.75</v>
      </c>
      <c r="AA42" s="9">
        <f t="shared" si="3"/>
        <v>1.53</v>
      </c>
      <c r="AB42" s="38" t="s">
        <v>106</v>
      </c>
    </row>
    <row r="43" spans="1:28" ht="25.5" customHeight="1" x14ac:dyDescent="0.25">
      <c r="A43" s="23">
        <v>29</v>
      </c>
      <c r="B43" s="24" t="s">
        <v>55</v>
      </c>
      <c r="C43" s="4">
        <v>100</v>
      </c>
      <c r="D43" s="4">
        <v>100</v>
      </c>
      <c r="E43" s="4">
        <v>105</v>
      </c>
      <c r="F43" s="4">
        <v>65</v>
      </c>
      <c r="G43" s="5">
        <v>370</v>
      </c>
      <c r="H43" s="6">
        <v>0</v>
      </c>
      <c r="I43" s="6">
        <v>0</v>
      </c>
      <c r="J43" s="6">
        <v>0</v>
      </c>
      <c r="K43" s="6">
        <v>0</v>
      </c>
      <c r="L43" s="8">
        <v>13625.924419999999</v>
      </c>
      <c r="M43" s="8">
        <v>4125.8494199999996</v>
      </c>
      <c r="N43" s="8">
        <f>3166691.66666667/1000</f>
        <v>3166.6916666666698</v>
      </c>
      <c r="O43" s="8">
        <f t="shared" si="0"/>
        <v>30.288953087212327</v>
      </c>
      <c r="P43" s="4">
        <f t="shared" si="1"/>
        <v>0</v>
      </c>
      <c r="Q43" s="45">
        <v>472.34603000000004</v>
      </c>
      <c r="R43" s="45">
        <v>46.257190000000001</v>
      </c>
      <c r="S43" s="7">
        <f t="shared" si="2"/>
        <v>-90.206927324021336</v>
      </c>
      <c r="T43" s="5">
        <v>5</v>
      </c>
      <c r="U43" s="5">
        <v>0</v>
      </c>
      <c r="V43" s="5">
        <v>5</v>
      </c>
      <c r="W43" s="5">
        <v>10</v>
      </c>
      <c r="X43" s="5">
        <v>5</v>
      </c>
      <c r="Y43" s="5">
        <v>10</v>
      </c>
      <c r="Z43" s="5">
        <f t="shared" si="9"/>
        <v>107.5</v>
      </c>
      <c r="AA43" s="9">
        <f t="shared" si="3"/>
        <v>1.51</v>
      </c>
      <c r="AB43" s="38" t="s">
        <v>106</v>
      </c>
    </row>
    <row r="44" spans="1:28" ht="25.5" customHeight="1" x14ac:dyDescent="0.25">
      <c r="A44" s="23">
        <v>30</v>
      </c>
      <c r="B44" s="24" t="s">
        <v>56</v>
      </c>
      <c r="C44" s="4">
        <v>100</v>
      </c>
      <c r="D44" s="4">
        <v>105</v>
      </c>
      <c r="E44" s="4">
        <v>105</v>
      </c>
      <c r="F44" s="4">
        <v>65</v>
      </c>
      <c r="G44" s="5">
        <v>375</v>
      </c>
      <c r="H44" s="6">
        <v>0</v>
      </c>
      <c r="I44" s="6">
        <v>0</v>
      </c>
      <c r="J44" s="6">
        <v>0</v>
      </c>
      <c r="K44" s="6">
        <v>0</v>
      </c>
      <c r="L44" s="8">
        <v>29566.783050000002</v>
      </c>
      <c r="M44" s="8">
        <v>8058.1080500000007</v>
      </c>
      <c r="N44" s="8">
        <f>7169558.33333333/1000</f>
        <v>7169.5583333333307</v>
      </c>
      <c r="O44" s="8">
        <f t="shared" si="0"/>
        <v>12.393367559833466</v>
      </c>
      <c r="P44" s="4">
        <f t="shared" si="1"/>
        <v>10</v>
      </c>
      <c r="Q44" s="45">
        <v>5.7211099999999995</v>
      </c>
      <c r="R44" s="45">
        <v>5.81426</v>
      </c>
      <c r="S44" s="7">
        <f t="shared" si="2"/>
        <v>1.6281805453836846</v>
      </c>
      <c r="T44" s="5">
        <v>5</v>
      </c>
      <c r="U44" s="5">
        <v>0</v>
      </c>
      <c r="V44" s="5">
        <v>5</v>
      </c>
      <c r="W44" s="5">
        <v>0</v>
      </c>
      <c r="X44" s="5">
        <v>5</v>
      </c>
      <c r="Y44" s="5">
        <v>10</v>
      </c>
      <c r="Z44" s="5">
        <f t="shared" si="6"/>
        <v>128.75</v>
      </c>
      <c r="AA44" s="9">
        <f t="shared" si="3"/>
        <v>1.81</v>
      </c>
      <c r="AB44" s="38" t="s">
        <v>106</v>
      </c>
    </row>
    <row r="45" spans="1:28" ht="25.5" customHeight="1" x14ac:dyDescent="0.25">
      <c r="A45" s="23">
        <v>31</v>
      </c>
      <c r="B45" s="24" t="s">
        <v>57</v>
      </c>
      <c r="C45" s="4">
        <v>100</v>
      </c>
      <c r="D45" s="4">
        <v>100</v>
      </c>
      <c r="E45" s="4">
        <v>105</v>
      </c>
      <c r="F45" s="4">
        <v>65</v>
      </c>
      <c r="G45" s="5">
        <v>370</v>
      </c>
      <c r="H45" s="6">
        <v>0</v>
      </c>
      <c r="I45" s="6">
        <v>0</v>
      </c>
      <c r="J45" s="6">
        <v>0</v>
      </c>
      <c r="K45" s="6">
        <v>0</v>
      </c>
      <c r="L45" s="8">
        <v>26590.70664</v>
      </c>
      <c r="M45" s="8">
        <v>7760.1316400000005</v>
      </c>
      <c r="N45" s="8">
        <f>6276858.33333333/1000</f>
        <v>6276.8583333333299</v>
      </c>
      <c r="O45" s="8">
        <f t="shared" si="0"/>
        <v>23.630823381654643</v>
      </c>
      <c r="P45" s="4">
        <f t="shared" si="1"/>
        <v>10</v>
      </c>
      <c r="Q45" s="45">
        <v>98.310649999999995</v>
      </c>
      <c r="R45" s="45">
        <v>92.945520000000002</v>
      </c>
      <c r="S45" s="7">
        <f t="shared" si="2"/>
        <v>-5.4573232910167855</v>
      </c>
      <c r="T45" s="5">
        <v>5</v>
      </c>
      <c r="U45" s="5">
        <v>0</v>
      </c>
      <c r="V45" s="5">
        <v>5</v>
      </c>
      <c r="W45" s="5">
        <v>10</v>
      </c>
      <c r="X45" s="5">
        <v>5</v>
      </c>
      <c r="Y45" s="5">
        <v>10</v>
      </c>
      <c r="Z45" s="5">
        <f>G45/4-(H45+I45+J45+K45)+P45+T45+U45+V45-W45+X45+Y45</f>
        <v>117.5</v>
      </c>
      <c r="AA45" s="9">
        <f t="shared" si="3"/>
        <v>1.65</v>
      </c>
      <c r="AB45" s="38" t="s">
        <v>106</v>
      </c>
    </row>
    <row r="46" spans="1:28" ht="25.5" customHeight="1" x14ac:dyDescent="0.25">
      <c r="A46" s="23">
        <v>32</v>
      </c>
      <c r="B46" s="24" t="s">
        <v>58</v>
      </c>
      <c r="C46" s="4">
        <v>100</v>
      </c>
      <c r="D46" s="4">
        <v>100</v>
      </c>
      <c r="E46" s="4">
        <v>105</v>
      </c>
      <c r="F46" s="4">
        <v>65</v>
      </c>
      <c r="G46" s="5">
        <v>370</v>
      </c>
      <c r="H46" s="6">
        <v>0</v>
      </c>
      <c r="I46" s="6">
        <v>0</v>
      </c>
      <c r="J46" s="6">
        <v>0</v>
      </c>
      <c r="K46" s="6">
        <v>0</v>
      </c>
      <c r="L46" s="8">
        <v>13884.710849999999</v>
      </c>
      <c r="M46" s="8">
        <v>4209.2162199999984</v>
      </c>
      <c r="N46" s="8">
        <f>3225164.87666667/1000</f>
        <v>3225.1648766666704</v>
      </c>
      <c r="O46" s="8">
        <f t="shared" si="0"/>
        <v>30.511660053497245</v>
      </c>
      <c r="P46" s="4">
        <f t="shared" si="1"/>
        <v>0</v>
      </c>
      <c r="Q46" s="45">
        <v>150.23743999999999</v>
      </c>
      <c r="R46" s="45">
        <v>150.12954000000002</v>
      </c>
      <c r="S46" s="7">
        <f t="shared" si="2"/>
        <v>-7.1819647619110361E-2</v>
      </c>
      <c r="T46" s="5">
        <v>5</v>
      </c>
      <c r="U46" s="5">
        <v>0</v>
      </c>
      <c r="V46" s="5">
        <v>-5</v>
      </c>
      <c r="W46" s="5">
        <v>0</v>
      </c>
      <c r="X46" s="5">
        <v>5</v>
      </c>
      <c r="Y46" s="5">
        <v>10</v>
      </c>
      <c r="Z46" s="5">
        <f t="shared" si="6"/>
        <v>107.5</v>
      </c>
      <c r="AA46" s="9">
        <f t="shared" si="3"/>
        <v>1.51</v>
      </c>
      <c r="AB46" s="38" t="s">
        <v>106</v>
      </c>
    </row>
    <row r="47" spans="1:28" ht="25.5" customHeight="1" x14ac:dyDescent="0.25">
      <c r="A47" s="23">
        <v>33</v>
      </c>
      <c r="B47" s="24" t="s">
        <v>59</v>
      </c>
      <c r="C47" s="4">
        <v>100</v>
      </c>
      <c r="D47" s="4">
        <v>105</v>
      </c>
      <c r="E47" s="4">
        <v>105</v>
      </c>
      <c r="F47" s="4">
        <v>65</v>
      </c>
      <c r="G47" s="5">
        <v>375</v>
      </c>
      <c r="H47" s="6">
        <v>0</v>
      </c>
      <c r="I47" s="6">
        <v>0</v>
      </c>
      <c r="J47" s="6">
        <v>0</v>
      </c>
      <c r="K47" s="6">
        <v>0</v>
      </c>
      <c r="L47" s="8">
        <v>18634.901389999999</v>
      </c>
      <c r="M47" s="8">
        <v>5791.2011300000004</v>
      </c>
      <c r="N47" s="8">
        <f>4281233.42/1000</f>
        <v>4281.2334199999996</v>
      </c>
      <c r="O47" s="8">
        <f t="shared" si="0"/>
        <v>35.269455361768173</v>
      </c>
      <c r="P47" s="4">
        <f t="shared" si="1"/>
        <v>0</v>
      </c>
      <c r="Q47" s="45">
        <v>193.65467000000001</v>
      </c>
      <c r="R47" s="45">
        <v>192.4597</v>
      </c>
      <c r="S47" s="7">
        <f t="shared" si="2"/>
        <v>-0.61706232026318397</v>
      </c>
      <c r="T47" s="5">
        <v>5</v>
      </c>
      <c r="U47" s="5">
        <v>0</v>
      </c>
      <c r="V47" s="5">
        <v>5</v>
      </c>
      <c r="W47" s="5">
        <v>0</v>
      </c>
      <c r="X47" s="5">
        <v>5</v>
      </c>
      <c r="Y47" s="5">
        <v>10</v>
      </c>
      <c r="Z47" s="5">
        <f t="shared" si="6"/>
        <v>118.75</v>
      </c>
      <c r="AA47" s="9">
        <f t="shared" si="3"/>
        <v>1.67</v>
      </c>
      <c r="AB47" s="38" t="s">
        <v>106</v>
      </c>
    </row>
    <row r="48" spans="1:28" ht="25.5" customHeight="1" x14ac:dyDescent="0.25">
      <c r="A48" s="23">
        <v>34</v>
      </c>
      <c r="B48" s="24" t="s">
        <v>60</v>
      </c>
      <c r="C48" s="4">
        <v>75</v>
      </c>
      <c r="D48" s="4">
        <v>105</v>
      </c>
      <c r="E48" s="4">
        <v>105</v>
      </c>
      <c r="F48" s="4">
        <v>45</v>
      </c>
      <c r="G48" s="5">
        <v>340</v>
      </c>
      <c r="H48" s="6">
        <v>0</v>
      </c>
      <c r="I48" s="6">
        <v>0</v>
      </c>
      <c r="J48" s="6">
        <v>0</v>
      </c>
      <c r="K48" s="6">
        <v>0</v>
      </c>
      <c r="L48" s="8">
        <v>41807.026259999999</v>
      </c>
      <c r="M48" s="8">
        <v>11102.851259999998</v>
      </c>
      <c r="N48" s="8">
        <f>10234725/1000</f>
        <v>10234.725</v>
      </c>
      <c r="O48" s="8">
        <f t="shared" si="0"/>
        <v>8.4821649824494276</v>
      </c>
      <c r="P48" s="4">
        <f t="shared" si="1"/>
        <v>10</v>
      </c>
      <c r="Q48" s="45">
        <v>150.26826</v>
      </c>
      <c r="R48" s="45">
        <v>122.03271000000001</v>
      </c>
      <c r="S48" s="7">
        <f t="shared" si="2"/>
        <v>-18.790095792684358</v>
      </c>
      <c r="T48" s="5">
        <v>5</v>
      </c>
      <c r="U48" s="5">
        <v>0</v>
      </c>
      <c r="V48" s="5">
        <v>0</v>
      </c>
      <c r="W48" s="5">
        <v>20</v>
      </c>
      <c r="X48" s="5">
        <v>5</v>
      </c>
      <c r="Y48" s="5">
        <v>10</v>
      </c>
      <c r="Z48" s="5">
        <f>G48/4-(H48+I48+J48+K48)+P48+T48+U48+V48-W48+X48+Y48</f>
        <v>95</v>
      </c>
      <c r="AA48" s="9">
        <f t="shared" si="3"/>
        <v>1.34</v>
      </c>
      <c r="AB48" s="38" t="s">
        <v>108</v>
      </c>
    </row>
    <row r="49" spans="1:28" ht="25.5" customHeight="1" x14ac:dyDescent="0.25">
      <c r="A49" s="23">
        <v>35</v>
      </c>
      <c r="B49" s="24" t="s">
        <v>61</v>
      </c>
      <c r="C49" s="4">
        <v>90</v>
      </c>
      <c r="D49" s="4">
        <v>90</v>
      </c>
      <c r="E49" s="4">
        <v>85</v>
      </c>
      <c r="F49" s="4">
        <v>55</v>
      </c>
      <c r="G49" s="5">
        <v>320</v>
      </c>
      <c r="H49" s="6">
        <v>0</v>
      </c>
      <c r="I49" s="6">
        <v>0</v>
      </c>
      <c r="J49" s="6">
        <v>0</v>
      </c>
      <c r="K49" s="6">
        <v>0</v>
      </c>
      <c r="L49" s="8">
        <v>52841.846939999996</v>
      </c>
      <c r="M49" s="8">
        <v>18182.696939999998</v>
      </c>
      <c r="N49" s="8">
        <f>11553050/1000</f>
        <v>11553.05</v>
      </c>
      <c r="O49" s="8">
        <f t="shared" si="0"/>
        <v>57.384387153175993</v>
      </c>
      <c r="P49" s="4">
        <f t="shared" si="1"/>
        <v>0</v>
      </c>
      <c r="Q49" s="45">
        <v>752.93714</v>
      </c>
      <c r="R49" s="45">
        <v>759.33798000000002</v>
      </c>
      <c r="S49" s="7">
        <f t="shared" si="2"/>
        <v>0.85011611991938885</v>
      </c>
      <c r="T49" s="5">
        <v>5</v>
      </c>
      <c r="U49" s="5">
        <v>0</v>
      </c>
      <c r="V49" s="5">
        <v>5</v>
      </c>
      <c r="W49" s="5">
        <v>20</v>
      </c>
      <c r="X49" s="5">
        <v>5</v>
      </c>
      <c r="Y49" s="5">
        <v>10</v>
      </c>
      <c r="Z49" s="5">
        <f t="shared" ref="Z49:Z55" si="10">G49/4-(H49+I49+J49+K49)+P49+T49+U49+V49-W49+X49+Y49</f>
        <v>85</v>
      </c>
      <c r="AA49" s="9">
        <f t="shared" si="3"/>
        <v>1.2</v>
      </c>
      <c r="AB49" s="38" t="s">
        <v>108</v>
      </c>
    </row>
    <row r="50" spans="1:28" ht="25.5" customHeight="1" x14ac:dyDescent="0.25">
      <c r="A50" s="23">
        <v>36</v>
      </c>
      <c r="B50" s="24" t="s">
        <v>62</v>
      </c>
      <c r="C50" s="4">
        <v>100</v>
      </c>
      <c r="D50" s="4">
        <v>90</v>
      </c>
      <c r="E50" s="4">
        <v>85</v>
      </c>
      <c r="F50" s="4">
        <v>65</v>
      </c>
      <c r="G50" s="5">
        <v>340</v>
      </c>
      <c r="H50" s="6">
        <v>0</v>
      </c>
      <c r="I50" s="6">
        <v>0</v>
      </c>
      <c r="J50" s="6">
        <v>0</v>
      </c>
      <c r="K50" s="6">
        <v>0</v>
      </c>
      <c r="L50" s="8">
        <v>46881.17108</v>
      </c>
      <c r="M50" s="8">
        <v>12926.454079999998</v>
      </c>
      <c r="N50" s="8">
        <f>11318239/1000</f>
        <v>11318.239</v>
      </c>
      <c r="O50" s="8">
        <f t="shared" si="0"/>
        <v>14.209057433758009</v>
      </c>
      <c r="P50" s="4">
        <f t="shared" si="1"/>
        <v>10</v>
      </c>
      <c r="Q50" s="45">
        <v>910.1096</v>
      </c>
      <c r="R50" s="45">
        <v>850.15963999999997</v>
      </c>
      <c r="S50" s="7">
        <f t="shared" si="2"/>
        <v>-6.587114343151641</v>
      </c>
      <c r="T50" s="5">
        <v>5</v>
      </c>
      <c r="U50" s="5">
        <v>0</v>
      </c>
      <c r="V50" s="5">
        <v>5</v>
      </c>
      <c r="W50" s="5">
        <v>10</v>
      </c>
      <c r="X50" s="5">
        <v>5</v>
      </c>
      <c r="Y50" s="5">
        <v>10</v>
      </c>
      <c r="Z50" s="5">
        <f t="shared" si="10"/>
        <v>110</v>
      </c>
      <c r="AA50" s="9">
        <f t="shared" si="3"/>
        <v>1.55</v>
      </c>
      <c r="AB50" s="38" t="s">
        <v>106</v>
      </c>
    </row>
    <row r="51" spans="1:28" ht="25.5" customHeight="1" x14ac:dyDescent="0.25">
      <c r="A51" s="23">
        <v>37</v>
      </c>
      <c r="B51" s="24" t="s">
        <v>63</v>
      </c>
      <c r="C51" s="4">
        <v>100</v>
      </c>
      <c r="D51" s="4">
        <v>95</v>
      </c>
      <c r="E51" s="4">
        <v>105</v>
      </c>
      <c r="F51" s="4">
        <v>65</v>
      </c>
      <c r="G51" s="5">
        <v>365</v>
      </c>
      <c r="H51" s="6">
        <v>0</v>
      </c>
      <c r="I51" s="6">
        <v>0</v>
      </c>
      <c r="J51" s="6">
        <v>0</v>
      </c>
      <c r="K51" s="6">
        <v>0</v>
      </c>
      <c r="L51" s="8">
        <v>17053.81481</v>
      </c>
      <c r="M51" s="8">
        <v>5143.0269799999987</v>
      </c>
      <c r="N51" s="8">
        <f>3970262.61/1000</f>
        <v>3970.2626099999998</v>
      </c>
      <c r="O51" s="8">
        <f t="shared" si="0"/>
        <v>29.538710286975171</v>
      </c>
      <c r="P51" s="4">
        <f t="shared" si="1"/>
        <v>0</v>
      </c>
      <c r="Q51" s="45">
        <v>7.6743900000000007</v>
      </c>
      <c r="R51" s="45">
        <v>9.7819599999999998</v>
      </c>
      <c r="S51" s="7">
        <f t="shared" si="2"/>
        <v>27.462378117348724</v>
      </c>
      <c r="T51" s="5">
        <v>0</v>
      </c>
      <c r="U51" s="5">
        <v>0</v>
      </c>
      <c r="V51" s="5">
        <v>5</v>
      </c>
      <c r="W51" s="5">
        <v>20</v>
      </c>
      <c r="X51" s="5">
        <v>5</v>
      </c>
      <c r="Y51" s="5">
        <v>10</v>
      </c>
      <c r="Z51" s="5">
        <f t="shared" si="10"/>
        <v>91.25</v>
      </c>
      <c r="AA51" s="9">
        <f t="shared" si="3"/>
        <v>1.29</v>
      </c>
      <c r="AB51" s="38" t="s">
        <v>108</v>
      </c>
    </row>
    <row r="52" spans="1:28" ht="25.5" customHeight="1" x14ac:dyDescent="0.25">
      <c r="A52" s="23">
        <v>38</v>
      </c>
      <c r="B52" s="25" t="s">
        <v>64</v>
      </c>
      <c r="C52" s="4">
        <v>90</v>
      </c>
      <c r="D52" s="4">
        <v>100</v>
      </c>
      <c r="E52" s="4">
        <v>105</v>
      </c>
      <c r="F52" s="4">
        <v>65</v>
      </c>
      <c r="G52" s="5">
        <v>360</v>
      </c>
      <c r="H52" s="6">
        <v>0</v>
      </c>
      <c r="I52" s="6">
        <v>0</v>
      </c>
      <c r="J52" s="6">
        <v>10</v>
      </c>
      <c r="K52" s="6">
        <v>0</v>
      </c>
      <c r="L52" s="8">
        <v>42064.782500000001</v>
      </c>
      <c r="M52" s="8">
        <v>12857.1075</v>
      </c>
      <c r="N52" s="181">
        <f>9735891.66666667/1000</f>
        <v>9735.8916666666701</v>
      </c>
      <c r="O52" s="8">
        <f t="shared" si="0"/>
        <v>32.058859529216164</v>
      </c>
      <c r="P52" s="4">
        <f t="shared" si="1"/>
        <v>0</v>
      </c>
      <c r="Q52" s="45">
        <v>697.70928000000004</v>
      </c>
      <c r="R52" s="45">
        <v>912.61108999999999</v>
      </c>
      <c r="S52" s="7">
        <f t="shared" si="2"/>
        <v>30.801053699615398</v>
      </c>
      <c r="T52" s="5">
        <v>0</v>
      </c>
      <c r="U52" s="5">
        <v>0</v>
      </c>
      <c r="V52" s="5">
        <v>5</v>
      </c>
      <c r="W52" s="5">
        <v>10</v>
      </c>
      <c r="X52" s="5">
        <v>5</v>
      </c>
      <c r="Y52" s="5">
        <v>10</v>
      </c>
      <c r="Z52" s="5">
        <f t="shared" si="10"/>
        <v>90</v>
      </c>
      <c r="AA52" s="9">
        <f t="shared" si="3"/>
        <v>1.27</v>
      </c>
      <c r="AB52" s="38" t="s">
        <v>108</v>
      </c>
    </row>
    <row r="53" spans="1:28" ht="25.5" customHeight="1" x14ac:dyDescent="0.25">
      <c r="A53" s="23">
        <v>39</v>
      </c>
      <c r="B53" s="24" t="s">
        <v>65</v>
      </c>
      <c r="C53" s="4">
        <v>90</v>
      </c>
      <c r="D53" s="4">
        <v>105</v>
      </c>
      <c r="E53" s="4">
        <v>105</v>
      </c>
      <c r="F53" s="4">
        <v>65</v>
      </c>
      <c r="G53" s="5">
        <v>365</v>
      </c>
      <c r="H53" s="6">
        <v>0</v>
      </c>
      <c r="I53" s="6">
        <v>0</v>
      </c>
      <c r="J53" s="6">
        <v>0</v>
      </c>
      <c r="K53" s="6">
        <v>0</v>
      </c>
      <c r="L53" s="8">
        <v>21666.67873</v>
      </c>
      <c r="M53" s="8">
        <v>6357.1037300000007</v>
      </c>
      <c r="N53" s="181">
        <f>5103191.66666667/1000</f>
        <v>5103.1916666666693</v>
      </c>
      <c r="O53" s="8">
        <f t="shared" si="0"/>
        <v>24.571134012537854</v>
      </c>
      <c r="P53" s="4">
        <f t="shared" si="1"/>
        <v>10</v>
      </c>
      <c r="Q53" s="45">
        <v>273.79559</v>
      </c>
      <c r="R53" s="45">
        <v>64.585419999999999</v>
      </c>
      <c r="S53" s="7">
        <f t="shared" si="2"/>
        <v>-76.411080981983673</v>
      </c>
      <c r="T53" s="5">
        <v>5</v>
      </c>
      <c r="U53" s="5">
        <v>0</v>
      </c>
      <c r="V53" s="5">
        <v>5</v>
      </c>
      <c r="W53" s="5">
        <v>10</v>
      </c>
      <c r="X53" s="5">
        <v>5</v>
      </c>
      <c r="Y53" s="5">
        <v>10</v>
      </c>
      <c r="Z53" s="5">
        <f t="shared" si="10"/>
        <v>116.25</v>
      </c>
      <c r="AA53" s="9">
        <f t="shared" si="3"/>
        <v>1.64</v>
      </c>
      <c r="AB53" s="38" t="s">
        <v>106</v>
      </c>
    </row>
    <row r="54" spans="1:28" ht="25.5" customHeight="1" x14ac:dyDescent="0.25">
      <c r="A54" s="23">
        <v>40</v>
      </c>
      <c r="B54" s="24" t="s">
        <v>66</v>
      </c>
      <c r="C54" s="4">
        <v>100</v>
      </c>
      <c r="D54" s="4">
        <v>90</v>
      </c>
      <c r="E54" s="4">
        <v>95</v>
      </c>
      <c r="F54" s="4">
        <v>55</v>
      </c>
      <c r="G54" s="5">
        <v>340</v>
      </c>
      <c r="H54" s="6">
        <v>0</v>
      </c>
      <c r="I54" s="6">
        <v>0</v>
      </c>
      <c r="J54" s="6">
        <v>0</v>
      </c>
      <c r="K54" s="6">
        <v>0</v>
      </c>
      <c r="L54" s="8">
        <v>19825.25748</v>
      </c>
      <c r="M54" s="8">
        <v>7185.2824800000008</v>
      </c>
      <c r="N54" s="8">
        <f>4213325/1000</f>
        <v>4213.3249999999998</v>
      </c>
      <c r="O54" s="8">
        <f t="shared" si="0"/>
        <v>70.537105018008361</v>
      </c>
      <c r="P54" s="4">
        <f t="shared" si="1"/>
        <v>0</v>
      </c>
      <c r="Q54" s="45">
        <v>0</v>
      </c>
      <c r="R54" s="45">
        <v>0</v>
      </c>
      <c r="S54" s="9">
        <v>0</v>
      </c>
      <c r="T54" s="5">
        <v>5</v>
      </c>
      <c r="U54" s="5">
        <v>0</v>
      </c>
      <c r="V54" s="5">
        <v>5</v>
      </c>
      <c r="W54" s="5">
        <v>20</v>
      </c>
      <c r="X54" s="5">
        <v>5</v>
      </c>
      <c r="Y54" s="5">
        <v>10</v>
      </c>
      <c r="Z54" s="5">
        <f t="shared" si="10"/>
        <v>90</v>
      </c>
      <c r="AA54" s="9">
        <f t="shared" si="3"/>
        <v>1.27</v>
      </c>
      <c r="AB54" s="38" t="s">
        <v>108</v>
      </c>
    </row>
    <row r="55" spans="1:28" ht="25.5" customHeight="1" x14ac:dyDescent="0.25">
      <c r="A55" s="23">
        <v>41</v>
      </c>
      <c r="B55" s="25" t="s">
        <v>67</v>
      </c>
      <c r="C55" s="4">
        <v>85</v>
      </c>
      <c r="D55" s="4">
        <v>100</v>
      </c>
      <c r="E55" s="4">
        <v>95</v>
      </c>
      <c r="F55" s="4">
        <v>50</v>
      </c>
      <c r="G55" s="5">
        <v>330</v>
      </c>
      <c r="H55" s="6">
        <v>0</v>
      </c>
      <c r="I55" s="6">
        <v>0</v>
      </c>
      <c r="J55" s="6">
        <v>0</v>
      </c>
      <c r="K55" s="6">
        <v>0</v>
      </c>
      <c r="L55" s="8">
        <v>18506.081690000003</v>
      </c>
      <c r="M55" s="8">
        <v>6384.3713500000013</v>
      </c>
      <c r="N55" s="8">
        <f>4040570.11333333/1000</f>
        <v>4040.57011333333</v>
      </c>
      <c r="O55" s="8">
        <f t="shared" si="0"/>
        <v>58.00669635535953</v>
      </c>
      <c r="P55" s="4">
        <f t="shared" si="1"/>
        <v>0</v>
      </c>
      <c r="Q55" s="45">
        <v>406.9325</v>
      </c>
      <c r="R55" s="45">
        <v>769.86292000000003</v>
      </c>
      <c r="S55" s="7">
        <f t="shared" si="2"/>
        <v>89.186884802762137</v>
      </c>
      <c r="T55" s="5">
        <v>0</v>
      </c>
      <c r="U55" s="5">
        <v>0</v>
      </c>
      <c r="V55" s="5">
        <v>0</v>
      </c>
      <c r="W55" s="5">
        <v>10</v>
      </c>
      <c r="X55" s="5">
        <v>5</v>
      </c>
      <c r="Y55" s="5">
        <v>10</v>
      </c>
      <c r="Z55" s="5">
        <f t="shared" si="10"/>
        <v>87.5</v>
      </c>
      <c r="AA55" s="9">
        <f t="shared" si="3"/>
        <v>1.23</v>
      </c>
      <c r="AB55" s="38" t="s">
        <v>108</v>
      </c>
    </row>
    <row r="56" spans="1:28" ht="25.5" customHeight="1" x14ac:dyDescent="0.25">
      <c r="A56" s="23">
        <v>42</v>
      </c>
      <c r="B56" s="24" t="s">
        <v>68</v>
      </c>
      <c r="C56" s="4">
        <v>100</v>
      </c>
      <c r="D56" s="4">
        <v>90</v>
      </c>
      <c r="E56" s="4">
        <v>95</v>
      </c>
      <c r="F56" s="4">
        <v>65</v>
      </c>
      <c r="G56" s="5">
        <v>350</v>
      </c>
      <c r="H56" s="6">
        <v>0</v>
      </c>
      <c r="I56" s="6">
        <v>0</v>
      </c>
      <c r="J56" s="6">
        <v>0</v>
      </c>
      <c r="K56" s="6">
        <v>0</v>
      </c>
      <c r="L56" s="8">
        <v>23588.14575</v>
      </c>
      <c r="M56" s="8">
        <v>7305.4707500000004</v>
      </c>
      <c r="N56" s="8">
        <f>5427558.33333333/1000</f>
        <v>5427.5583333333307</v>
      </c>
      <c r="O56" s="8">
        <f t="shared" si="0"/>
        <v>34.599580535753567</v>
      </c>
      <c r="P56" s="4">
        <f t="shared" si="1"/>
        <v>0</v>
      </c>
      <c r="Q56" s="45">
        <v>29.31457</v>
      </c>
      <c r="R56" s="45">
        <v>28.697869999999998</v>
      </c>
      <c r="S56" s="7">
        <f t="shared" si="2"/>
        <v>-2.1037320349573663</v>
      </c>
      <c r="T56" s="5">
        <v>5</v>
      </c>
      <c r="U56" s="5">
        <v>0</v>
      </c>
      <c r="V56" s="5">
        <v>5</v>
      </c>
      <c r="W56" s="5">
        <v>0</v>
      </c>
      <c r="X56" s="5">
        <v>5</v>
      </c>
      <c r="Y56" s="5">
        <v>10</v>
      </c>
      <c r="Z56" s="5">
        <f t="shared" si="6"/>
        <v>112.5</v>
      </c>
      <c r="AA56" s="9">
        <f t="shared" si="3"/>
        <v>1.58</v>
      </c>
      <c r="AB56" s="38" t="s">
        <v>106</v>
      </c>
    </row>
    <row r="57" spans="1:28" ht="25.5" customHeight="1" x14ac:dyDescent="0.25">
      <c r="A57" s="23">
        <v>43</v>
      </c>
      <c r="B57" s="24" t="s">
        <v>69</v>
      </c>
      <c r="C57" s="4">
        <v>85</v>
      </c>
      <c r="D57" s="4">
        <v>100</v>
      </c>
      <c r="E57" s="4">
        <v>105</v>
      </c>
      <c r="F57" s="4">
        <v>65</v>
      </c>
      <c r="G57" s="5">
        <v>355</v>
      </c>
      <c r="H57" s="6">
        <v>0</v>
      </c>
      <c r="I57" s="6">
        <v>0</v>
      </c>
      <c r="J57" s="6">
        <v>10</v>
      </c>
      <c r="K57" s="6">
        <v>0</v>
      </c>
      <c r="L57" s="8">
        <v>25169.62631</v>
      </c>
      <c r="M57" s="8">
        <v>7781.2844599999971</v>
      </c>
      <c r="N57" s="8">
        <f>5796113.95/1000</f>
        <v>5796.1139499999999</v>
      </c>
      <c r="O57" s="8">
        <f t="shared" si="0"/>
        <v>34.25002557101206</v>
      </c>
      <c r="P57" s="4">
        <f t="shared" si="1"/>
        <v>0</v>
      </c>
      <c r="Q57" s="45">
        <v>400.35082</v>
      </c>
      <c r="R57" s="45">
        <v>119.75780999999999</v>
      </c>
      <c r="S57" s="7">
        <f t="shared" si="2"/>
        <v>-70.086782887068892</v>
      </c>
      <c r="T57" s="5">
        <v>5</v>
      </c>
      <c r="U57" s="5">
        <v>0</v>
      </c>
      <c r="V57" s="5">
        <v>5</v>
      </c>
      <c r="W57" s="5">
        <v>20</v>
      </c>
      <c r="X57" s="5">
        <v>5</v>
      </c>
      <c r="Y57" s="5">
        <v>10</v>
      </c>
      <c r="Z57" s="5">
        <f>G57/4-(H57+I57+J57+K57)+P57+T57+U57+V57-W57+X57+Y57</f>
        <v>83.75</v>
      </c>
      <c r="AA57" s="9">
        <f t="shared" si="3"/>
        <v>1.18</v>
      </c>
      <c r="AB57" s="38" t="s">
        <v>107</v>
      </c>
    </row>
    <row r="58" spans="1:28" ht="38.25" x14ac:dyDescent="0.25">
      <c r="A58" s="23">
        <v>44</v>
      </c>
      <c r="B58" s="24" t="s">
        <v>70</v>
      </c>
      <c r="C58" s="4">
        <v>65</v>
      </c>
      <c r="D58" s="4">
        <v>40</v>
      </c>
      <c r="E58" s="4">
        <v>60</v>
      </c>
      <c r="F58" s="4">
        <v>45</v>
      </c>
      <c r="G58" s="5">
        <v>210</v>
      </c>
      <c r="H58" s="6">
        <v>0</v>
      </c>
      <c r="I58" s="6">
        <v>0</v>
      </c>
      <c r="J58" s="6">
        <v>20</v>
      </c>
      <c r="K58" s="6">
        <v>0</v>
      </c>
      <c r="L58" s="8">
        <v>17736.020059999999</v>
      </c>
      <c r="M58" s="8">
        <v>6471.9131099999995</v>
      </c>
      <c r="N58" s="8">
        <f>3754702.31666667/1000</f>
        <v>3754.70231666667</v>
      </c>
      <c r="O58" s="8">
        <f t="shared" si="0"/>
        <v>72.368208293689733</v>
      </c>
      <c r="P58" s="4">
        <f t="shared" si="1"/>
        <v>0</v>
      </c>
      <c r="Q58" s="45">
        <v>223.58235000000002</v>
      </c>
      <c r="R58" s="45">
        <v>242.41679999999999</v>
      </c>
      <c r="S58" s="7">
        <f t="shared" si="2"/>
        <v>8.4239431243119025</v>
      </c>
      <c r="T58" s="5">
        <v>0</v>
      </c>
      <c r="U58" s="5">
        <v>0</v>
      </c>
      <c r="V58" s="5">
        <v>-5</v>
      </c>
      <c r="W58" s="5">
        <v>0</v>
      </c>
      <c r="X58" s="5">
        <v>5</v>
      </c>
      <c r="Y58" s="5">
        <v>-5</v>
      </c>
      <c r="Z58" s="5">
        <f t="shared" si="6"/>
        <v>27.5</v>
      </c>
      <c r="AA58" s="9">
        <f t="shared" si="3"/>
        <v>0.39</v>
      </c>
      <c r="AB58" s="38" t="s">
        <v>104</v>
      </c>
    </row>
    <row r="59" spans="1:28" ht="25.5" customHeight="1" x14ac:dyDescent="0.25">
      <c r="A59" s="23">
        <v>45</v>
      </c>
      <c r="B59" s="24" t="s">
        <v>71</v>
      </c>
      <c r="C59" s="4">
        <v>100</v>
      </c>
      <c r="D59" s="4">
        <v>90</v>
      </c>
      <c r="E59" s="4">
        <v>85</v>
      </c>
      <c r="F59" s="4">
        <v>65</v>
      </c>
      <c r="G59" s="5">
        <v>340</v>
      </c>
      <c r="H59" s="6">
        <v>0</v>
      </c>
      <c r="I59" s="6">
        <v>0</v>
      </c>
      <c r="J59" s="6">
        <v>0</v>
      </c>
      <c r="K59" s="6">
        <v>0</v>
      </c>
      <c r="L59" s="8">
        <v>12686.506089999999</v>
      </c>
      <c r="M59" s="8">
        <v>3548.5310899999999</v>
      </c>
      <c r="N59" s="8">
        <f>3045991.66666667/1000</f>
        <v>3045.99166666667</v>
      </c>
      <c r="O59" s="8">
        <f t="shared" si="0"/>
        <v>16.49838470777156</v>
      </c>
      <c r="P59" s="4">
        <f t="shared" si="1"/>
        <v>10</v>
      </c>
      <c r="Q59" s="45">
        <v>80.729500000000002</v>
      </c>
      <c r="R59" s="45">
        <v>107.66705</v>
      </c>
      <c r="S59" s="7">
        <f t="shared" si="2"/>
        <v>33.367666094798061</v>
      </c>
      <c r="T59" s="5">
        <v>0</v>
      </c>
      <c r="U59" s="5">
        <v>0</v>
      </c>
      <c r="V59" s="5">
        <v>5</v>
      </c>
      <c r="W59" s="5">
        <v>0</v>
      </c>
      <c r="X59" s="5">
        <v>5</v>
      </c>
      <c r="Y59" s="5">
        <v>10</v>
      </c>
      <c r="Z59" s="5">
        <f t="shared" si="6"/>
        <v>115</v>
      </c>
      <c r="AA59" s="9">
        <f t="shared" si="3"/>
        <v>1.62</v>
      </c>
      <c r="AB59" s="38" t="s">
        <v>106</v>
      </c>
    </row>
    <row r="60" spans="1:28" ht="25.5" customHeight="1" x14ac:dyDescent="0.25">
      <c r="A60" s="23">
        <v>46</v>
      </c>
      <c r="B60" s="24" t="s">
        <v>72</v>
      </c>
      <c r="C60" s="4">
        <v>100</v>
      </c>
      <c r="D60" s="4">
        <v>105</v>
      </c>
      <c r="E60" s="4">
        <v>105</v>
      </c>
      <c r="F60" s="4">
        <v>65</v>
      </c>
      <c r="G60" s="5">
        <v>375</v>
      </c>
      <c r="H60" s="6">
        <v>0</v>
      </c>
      <c r="I60" s="6">
        <v>0</v>
      </c>
      <c r="J60" s="6">
        <v>0</v>
      </c>
      <c r="K60" s="6">
        <v>0</v>
      </c>
      <c r="L60" s="8">
        <v>13551.06244</v>
      </c>
      <c r="M60" s="8">
        <v>4602.7874399999992</v>
      </c>
      <c r="N60" s="8">
        <f>2982758.33333333/1000</f>
        <v>2982.75833333333</v>
      </c>
      <c r="O60" s="8">
        <f t="shared" si="0"/>
        <v>54.31311979124483</v>
      </c>
      <c r="P60" s="4">
        <f t="shared" si="1"/>
        <v>0</v>
      </c>
      <c r="Q60" s="45">
        <v>73.620699999999999</v>
      </c>
      <c r="R60" s="45">
        <v>112.5042</v>
      </c>
      <c r="S60" s="7">
        <f t="shared" si="2"/>
        <v>52.815987894708961</v>
      </c>
      <c r="T60" s="5">
        <v>0</v>
      </c>
      <c r="U60" s="5">
        <v>0</v>
      </c>
      <c r="V60" s="5">
        <v>5</v>
      </c>
      <c r="W60" s="5">
        <v>10</v>
      </c>
      <c r="X60" s="5">
        <v>5</v>
      </c>
      <c r="Y60" s="5">
        <v>10</v>
      </c>
      <c r="Z60" s="5">
        <f t="shared" ref="Z60:Z63" si="11">G60/4-(H60+I60+J60+K60)+P60+T60+U60+V60-W60+X60+Y60</f>
        <v>103.75</v>
      </c>
      <c r="AA60" s="9">
        <f t="shared" si="3"/>
        <v>1.46</v>
      </c>
      <c r="AB60" s="38" t="s">
        <v>108</v>
      </c>
    </row>
    <row r="61" spans="1:28" ht="25.5" customHeight="1" x14ac:dyDescent="0.25">
      <c r="A61" s="23">
        <v>47</v>
      </c>
      <c r="B61" s="24" t="s">
        <v>73</v>
      </c>
      <c r="C61" s="4">
        <v>100</v>
      </c>
      <c r="D61" s="4">
        <v>100</v>
      </c>
      <c r="E61" s="4">
        <v>105</v>
      </c>
      <c r="F61" s="4">
        <v>65</v>
      </c>
      <c r="G61" s="5">
        <v>370</v>
      </c>
      <c r="H61" s="6">
        <v>0</v>
      </c>
      <c r="I61" s="6">
        <v>0</v>
      </c>
      <c r="J61" s="6">
        <v>0</v>
      </c>
      <c r="K61" s="6">
        <v>0</v>
      </c>
      <c r="L61" s="8">
        <v>46355.758689999995</v>
      </c>
      <c r="M61" s="8">
        <v>12092.687949999996</v>
      </c>
      <c r="N61" s="8">
        <f>11421023.58/1000</f>
        <v>11421.023580000001</v>
      </c>
      <c r="O61" s="8">
        <f t="shared" si="0"/>
        <v>5.8809472311762345</v>
      </c>
      <c r="P61" s="4">
        <f t="shared" si="1"/>
        <v>10</v>
      </c>
      <c r="Q61" s="45">
        <v>595.84235000000001</v>
      </c>
      <c r="R61" s="45">
        <v>700.15707999999995</v>
      </c>
      <c r="S61" s="7">
        <f t="shared" si="2"/>
        <v>17.507102340073669</v>
      </c>
      <c r="T61" s="5">
        <v>0</v>
      </c>
      <c r="U61" s="5">
        <v>0</v>
      </c>
      <c r="V61" s="5">
        <v>5</v>
      </c>
      <c r="W61" s="5">
        <v>20</v>
      </c>
      <c r="X61" s="5">
        <v>5</v>
      </c>
      <c r="Y61" s="5">
        <v>10</v>
      </c>
      <c r="Z61" s="5">
        <f t="shared" si="11"/>
        <v>102.5</v>
      </c>
      <c r="AA61" s="9">
        <f t="shared" si="3"/>
        <v>1.44</v>
      </c>
      <c r="AB61" s="38" t="s">
        <v>108</v>
      </c>
    </row>
    <row r="62" spans="1:28" ht="25.5" customHeight="1" x14ac:dyDescent="0.25">
      <c r="A62" s="23">
        <v>48</v>
      </c>
      <c r="B62" s="24" t="s">
        <v>74</v>
      </c>
      <c r="C62" s="4">
        <v>90</v>
      </c>
      <c r="D62" s="4">
        <v>85</v>
      </c>
      <c r="E62" s="4">
        <v>105</v>
      </c>
      <c r="F62" s="4">
        <v>50</v>
      </c>
      <c r="G62" s="5">
        <v>330</v>
      </c>
      <c r="H62" s="6">
        <v>0</v>
      </c>
      <c r="I62" s="6">
        <v>0</v>
      </c>
      <c r="J62" s="6">
        <v>20</v>
      </c>
      <c r="K62" s="6">
        <v>0</v>
      </c>
      <c r="L62" s="8">
        <v>11535.947920000001</v>
      </c>
      <c r="M62" s="8">
        <v>3153.58979</v>
      </c>
      <c r="N62" s="8">
        <f>2794119.37666667/1000</f>
        <v>2794.1193766666702</v>
      </c>
      <c r="O62" s="8">
        <f t="shared" si="0"/>
        <v>12.865248934430674</v>
      </c>
      <c r="P62" s="4">
        <f t="shared" si="1"/>
        <v>10</v>
      </c>
      <c r="Q62" s="45">
        <v>0</v>
      </c>
      <c r="R62" s="45">
        <v>116.70961</v>
      </c>
      <c r="S62" s="7">
        <v>0</v>
      </c>
      <c r="T62" s="5">
        <v>5</v>
      </c>
      <c r="U62" s="5">
        <v>0</v>
      </c>
      <c r="V62" s="5">
        <v>5</v>
      </c>
      <c r="W62" s="5">
        <v>10</v>
      </c>
      <c r="X62" s="5">
        <v>5</v>
      </c>
      <c r="Y62" s="5">
        <v>10</v>
      </c>
      <c r="Z62" s="5">
        <f t="shared" si="11"/>
        <v>87.5</v>
      </c>
      <c r="AA62" s="9">
        <f t="shared" si="3"/>
        <v>1.23</v>
      </c>
      <c r="AB62" s="38" t="s">
        <v>108</v>
      </c>
    </row>
    <row r="63" spans="1:28" ht="25.5" customHeight="1" x14ac:dyDescent="0.25">
      <c r="A63" s="23">
        <v>49</v>
      </c>
      <c r="B63" s="24" t="s">
        <v>75</v>
      </c>
      <c r="C63" s="4">
        <v>100</v>
      </c>
      <c r="D63" s="4">
        <v>65</v>
      </c>
      <c r="E63" s="4">
        <v>85</v>
      </c>
      <c r="F63" s="4">
        <v>65</v>
      </c>
      <c r="G63" s="5">
        <v>315</v>
      </c>
      <c r="H63" s="6">
        <v>0</v>
      </c>
      <c r="I63" s="6">
        <v>0</v>
      </c>
      <c r="J63" s="6">
        <v>0</v>
      </c>
      <c r="K63" s="6">
        <v>0</v>
      </c>
      <c r="L63" s="8">
        <v>39388.053850000004</v>
      </c>
      <c r="M63" s="8">
        <v>11194.757589999999</v>
      </c>
      <c r="N63" s="8">
        <f>9397765.42/1000</f>
        <v>9397.7654199999997</v>
      </c>
      <c r="O63" s="8">
        <f t="shared" si="0"/>
        <v>19.121483562206212</v>
      </c>
      <c r="P63" s="4">
        <f t="shared" si="1"/>
        <v>10</v>
      </c>
      <c r="Q63" s="45">
        <v>2372.2500099999997</v>
      </c>
      <c r="R63" s="45">
        <v>1608.5140100000001</v>
      </c>
      <c r="S63" s="7">
        <f t="shared" si="2"/>
        <v>-32.194583065888558</v>
      </c>
      <c r="T63" s="5">
        <v>5</v>
      </c>
      <c r="U63" s="5">
        <v>0</v>
      </c>
      <c r="V63" s="5">
        <v>5</v>
      </c>
      <c r="W63" s="5">
        <v>10</v>
      </c>
      <c r="X63" s="5">
        <v>5</v>
      </c>
      <c r="Y63" s="5">
        <v>10</v>
      </c>
      <c r="Z63" s="5">
        <f t="shared" si="11"/>
        <v>103.75</v>
      </c>
      <c r="AA63" s="9">
        <f t="shared" si="3"/>
        <v>1.46</v>
      </c>
      <c r="AB63" s="38" t="s">
        <v>108</v>
      </c>
    </row>
    <row r="64" spans="1:28" ht="25.5" customHeight="1" x14ac:dyDescent="0.25">
      <c r="A64" s="23">
        <v>50</v>
      </c>
      <c r="B64" s="24" t="s">
        <v>76</v>
      </c>
      <c r="C64" s="4">
        <v>90</v>
      </c>
      <c r="D64" s="4">
        <v>50</v>
      </c>
      <c r="E64" s="4">
        <v>85</v>
      </c>
      <c r="F64" s="4">
        <v>65</v>
      </c>
      <c r="G64" s="5">
        <v>290</v>
      </c>
      <c r="H64" s="6">
        <v>0</v>
      </c>
      <c r="I64" s="6">
        <v>0</v>
      </c>
      <c r="J64" s="6">
        <v>0</v>
      </c>
      <c r="K64" s="6">
        <v>0</v>
      </c>
      <c r="L64" s="8">
        <v>42459.230619999995</v>
      </c>
      <c r="M64" s="8">
        <v>13236.955619999997</v>
      </c>
      <c r="N64" s="8">
        <f>9740758.33333333/1000</f>
        <v>9740.7583333333296</v>
      </c>
      <c r="O64" s="8">
        <f t="shared" si="0"/>
        <v>35.892454848227956</v>
      </c>
      <c r="P64" s="4">
        <f t="shared" si="1"/>
        <v>0</v>
      </c>
      <c r="Q64" s="45">
        <v>718.9463199999999</v>
      </c>
      <c r="R64" s="45">
        <v>565.7011</v>
      </c>
      <c r="S64" s="7">
        <f t="shared" si="2"/>
        <v>-21.315252020484635</v>
      </c>
      <c r="T64" s="5">
        <v>5</v>
      </c>
      <c r="U64" s="5">
        <v>0</v>
      </c>
      <c r="V64" s="5">
        <v>5</v>
      </c>
      <c r="W64" s="5">
        <v>0</v>
      </c>
      <c r="X64" s="5">
        <v>5</v>
      </c>
      <c r="Y64" s="5">
        <v>10</v>
      </c>
      <c r="Z64" s="5">
        <f t="shared" si="6"/>
        <v>97.5</v>
      </c>
      <c r="AA64" s="9">
        <f t="shared" si="3"/>
        <v>1.37</v>
      </c>
      <c r="AB64" s="38" t="s">
        <v>108</v>
      </c>
    </row>
    <row r="65" spans="1:28" ht="25.5" customHeight="1" x14ac:dyDescent="0.25">
      <c r="A65" s="23">
        <v>51</v>
      </c>
      <c r="B65" s="25" t="s">
        <v>77</v>
      </c>
      <c r="C65" s="4">
        <v>90</v>
      </c>
      <c r="D65" s="4">
        <v>100</v>
      </c>
      <c r="E65" s="4">
        <v>95</v>
      </c>
      <c r="F65" s="4">
        <v>55</v>
      </c>
      <c r="G65" s="5">
        <v>340</v>
      </c>
      <c r="H65" s="6">
        <v>0</v>
      </c>
      <c r="I65" s="6">
        <v>0</v>
      </c>
      <c r="J65" s="6">
        <v>0</v>
      </c>
      <c r="K65" s="6">
        <v>0</v>
      </c>
      <c r="L65" s="8">
        <v>15671.35338</v>
      </c>
      <c r="M65" s="8">
        <v>4987.7920300000014</v>
      </c>
      <c r="N65" s="8">
        <f>3561187.11666667/1000</f>
        <v>3561.1871166666701</v>
      </c>
      <c r="O65" s="8">
        <f t="shared" si="0"/>
        <v>40.059813387976568</v>
      </c>
      <c r="P65" s="4">
        <f t="shared" si="1"/>
        <v>0</v>
      </c>
      <c r="Q65" s="45">
        <v>69.132080000000002</v>
      </c>
      <c r="R65" s="45">
        <v>68.631119999999996</v>
      </c>
      <c r="S65" s="7">
        <f t="shared" si="2"/>
        <v>-0.72464187393176405</v>
      </c>
      <c r="T65" s="5">
        <v>5</v>
      </c>
      <c r="U65" s="5">
        <v>0</v>
      </c>
      <c r="V65" s="5">
        <v>5</v>
      </c>
      <c r="W65" s="5">
        <v>10</v>
      </c>
      <c r="X65" s="5">
        <v>5</v>
      </c>
      <c r="Y65" s="5">
        <v>10</v>
      </c>
      <c r="Z65" s="5">
        <f t="shared" ref="Z65:Z66" si="12">G65/4-(H65+I65+J65+K65)+P65+T65+U65+V65-W65+X65+Y65</f>
        <v>100</v>
      </c>
      <c r="AA65" s="9">
        <f t="shared" si="3"/>
        <v>1.41</v>
      </c>
      <c r="AB65" s="38" t="s">
        <v>108</v>
      </c>
    </row>
    <row r="66" spans="1:28" ht="25.5" customHeight="1" x14ac:dyDescent="0.25">
      <c r="A66" s="23">
        <v>52</v>
      </c>
      <c r="B66" s="26" t="s">
        <v>78</v>
      </c>
      <c r="C66" s="4">
        <v>100</v>
      </c>
      <c r="D66" s="4">
        <v>105</v>
      </c>
      <c r="E66" s="4">
        <v>105</v>
      </c>
      <c r="F66" s="4">
        <v>65</v>
      </c>
      <c r="G66" s="5">
        <v>375</v>
      </c>
      <c r="H66" s="6">
        <v>0</v>
      </c>
      <c r="I66" s="6">
        <v>0</v>
      </c>
      <c r="J66" s="6">
        <v>0</v>
      </c>
      <c r="K66" s="6">
        <v>0</v>
      </c>
      <c r="L66" s="8">
        <v>40918.322970000001</v>
      </c>
      <c r="M66" s="8">
        <v>12094.847969999999</v>
      </c>
      <c r="N66" s="8">
        <f>9607825/1000</f>
        <v>9607.8250000000007</v>
      </c>
      <c r="O66" s="8">
        <f t="shared" si="0"/>
        <v>25.885389981603517</v>
      </c>
      <c r="P66" s="4">
        <f t="shared" si="1"/>
        <v>0</v>
      </c>
      <c r="Q66" s="45">
        <v>117.32753</v>
      </c>
      <c r="R66" s="45">
        <v>117.30630000000001</v>
      </c>
      <c r="S66" s="7">
        <f t="shared" si="2"/>
        <v>-1.8094644965242629E-2</v>
      </c>
      <c r="T66" s="5">
        <v>5</v>
      </c>
      <c r="U66" s="5">
        <v>0</v>
      </c>
      <c r="V66" s="5">
        <v>5</v>
      </c>
      <c r="W66" s="5">
        <v>10</v>
      </c>
      <c r="X66" s="5">
        <v>5</v>
      </c>
      <c r="Y66" s="5">
        <v>10</v>
      </c>
      <c r="Z66" s="5">
        <f t="shared" si="12"/>
        <v>108.75</v>
      </c>
      <c r="AA66" s="9">
        <f t="shared" si="3"/>
        <v>1.53</v>
      </c>
      <c r="AB66" s="38" t="s">
        <v>106</v>
      </c>
    </row>
    <row r="67" spans="1:28" ht="25.5" customHeight="1" x14ac:dyDescent="0.25">
      <c r="A67" s="23">
        <v>53</v>
      </c>
      <c r="B67" s="24" t="s">
        <v>79</v>
      </c>
      <c r="C67" s="4">
        <v>100</v>
      </c>
      <c r="D67" s="4">
        <v>85</v>
      </c>
      <c r="E67" s="4">
        <v>95</v>
      </c>
      <c r="F67" s="4">
        <v>50</v>
      </c>
      <c r="G67" s="5">
        <v>335</v>
      </c>
      <c r="H67" s="6">
        <v>0</v>
      </c>
      <c r="I67" s="6">
        <v>0</v>
      </c>
      <c r="J67" s="6">
        <v>0</v>
      </c>
      <c r="K67" s="6">
        <v>0</v>
      </c>
      <c r="L67" s="8">
        <v>17821.045670000003</v>
      </c>
      <c r="M67" s="8">
        <v>6250.6718100000026</v>
      </c>
      <c r="N67" s="8">
        <f>3856791.28666667/1000</f>
        <v>3856.7912866666697</v>
      </c>
      <c r="O67" s="8">
        <f t="shared" si="0"/>
        <v>62.06922660319286</v>
      </c>
      <c r="P67" s="4">
        <f t="shared" si="1"/>
        <v>0</v>
      </c>
      <c r="Q67" s="45">
        <v>28.243770000000001</v>
      </c>
      <c r="R67" s="45">
        <v>53.743879999999997</v>
      </c>
      <c r="S67" s="7">
        <f t="shared" si="2"/>
        <v>90.285786918672656</v>
      </c>
      <c r="T67" s="5">
        <v>0</v>
      </c>
      <c r="U67" s="5">
        <v>0</v>
      </c>
      <c r="V67" s="5">
        <v>5</v>
      </c>
      <c r="W67" s="5">
        <v>0</v>
      </c>
      <c r="X67" s="5">
        <v>5</v>
      </c>
      <c r="Y67" s="5">
        <v>10</v>
      </c>
      <c r="Z67" s="5">
        <f t="shared" si="6"/>
        <v>103.75</v>
      </c>
      <c r="AA67" s="9">
        <f t="shared" si="3"/>
        <v>1.46</v>
      </c>
      <c r="AB67" s="38" t="s">
        <v>108</v>
      </c>
    </row>
    <row r="68" spans="1:28" ht="25.5" customHeight="1" x14ac:dyDescent="0.25">
      <c r="A68" s="23">
        <v>54</v>
      </c>
      <c r="B68" s="24" t="s">
        <v>80</v>
      </c>
      <c r="C68" s="4">
        <v>85</v>
      </c>
      <c r="D68" s="4">
        <v>95</v>
      </c>
      <c r="E68" s="4">
        <v>85</v>
      </c>
      <c r="F68" s="4">
        <v>65</v>
      </c>
      <c r="G68" s="5">
        <v>330</v>
      </c>
      <c r="H68" s="6">
        <v>0</v>
      </c>
      <c r="I68" s="6">
        <v>0</v>
      </c>
      <c r="J68" s="6">
        <v>10</v>
      </c>
      <c r="K68" s="6">
        <v>0</v>
      </c>
      <c r="L68" s="8">
        <v>83860.503120000008</v>
      </c>
      <c r="M68" s="8">
        <v>30108.332240000003</v>
      </c>
      <c r="N68" s="8">
        <f>17917390.2933333/1000</f>
        <v>17917.390293333301</v>
      </c>
      <c r="O68" s="8">
        <f t="shared" si="0"/>
        <v>68.039718659266498</v>
      </c>
      <c r="P68" s="4">
        <f t="shared" si="1"/>
        <v>0</v>
      </c>
      <c r="Q68" s="45">
        <v>495.23803000000004</v>
      </c>
      <c r="R68" s="45">
        <v>588.93419999999992</v>
      </c>
      <c r="S68" s="7">
        <f t="shared" si="2"/>
        <v>18.919421434577604</v>
      </c>
      <c r="T68" s="5">
        <v>0</v>
      </c>
      <c r="U68" s="5">
        <v>0</v>
      </c>
      <c r="V68" s="5">
        <v>5</v>
      </c>
      <c r="W68" s="5">
        <v>20</v>
      </c>
      <c r="X68" s="5">
        <v>5</v>
      </c>
      <c r="Y68" s="5">
        <v>10</v>
      </c>
      <c r="Z68" s="5">
        <f t="shared" ref="Z68:Z71" si="13">G68/4-(H68+I68+J68+K68)+P68+T68+U68+V68-W68+X68+Y68</f>
        <v>72.5</v>
      </c>
      <c r="AA68" s="9">
        <f t="shared" si="3"/>
        <v>1.02</v>
      </c>
      <c r="AB68" s="38" t="s">
        <v>107</v>
      </c>
    </row>
    <row r="69" spans="1:28" ht="25.5" customHeight="1" x14ac:dyDescent="0.25">
      <c r="A69" s="23">
        <v>55</v>
      </c>
      <c r="B69" s="24" t="s">
        <v>81</v>
      </c>
      <c r="C69" s="4">
        <v>90</v>
      </c>
      <c r="D69" s="4">
        <v>85</v>
      </c>
      <c r="E69" s="4">
        <v>95</v>
      </c>
      <c r="F69" s="4">
        <v>65</v>
      </c>
      <c r="G69" s="5">
        <v>335</v>
      </c>
      <c r="H69" s="6">
        <v>0</v>
      </c>
      <c r="I69" s="6">
        <v>0</v>
      </c>
      <c r="J69" s="6">
        <v>0</v>
      </c>
      <c r="K69" s="6">
        <v>0</v>
      </c>
      <c r="L69" s="8">
        <v>41596.292549999998</v>
      </c>
      <c r="M69" s="8">
        <v>14011.713159999996</v>
      </c>
      <c r="N69" s="8">
        <f>9194859.79666667/1000</f>
        <v>9194.8597966666712</v>
      </c>
      <c r="O69" s="8">
        <f t="shared" si="0"/>
        <v>52.386370970871518</v>
      </c>
      <c r="P69" s="4">
        <f t="shared" si="1"/>
        <v>0</v>
      </c>
      <c r="Q69" s="45">
        <v>499.05121000000003</v>
      </c>
      <c r="R69" s="45">
        <v>571.07736</v>
      </c>
      <c r="S69" s="7">
        <f t="shared" si="2"/>
        <v>14.432617045453105</v>
      </c>
      <c r="T69" s="5">
        <v>0</v>
      </c>
      <c r="U69" s="5">
        <v>0</v>
      </c>
      <c r="V69" s="5">
        <v>5</v>
      </c>
      <c r="W69" s="5">
        <v>10</v>
      </c>
      <c r="X69" s="5">
        <v>5</v>
      </c>
      <c r="Y69" s="5">
        <v>10</v>
      </c>
      <c r="Z69" s="5">
        <f t="shared" si="13"/>
        <v>93.75</v>
      </c>
      <c r="AA69" s="9">
        <f t="shared" si="3"/>
        <v>1.32</v>
      </c>
      <c r="AB69" s="38" t="s">
        <v>108</v>
      </c>
    </row>
    <row r="70" spans="1:28" ht="25.5" customHeight="1" x14ac:dyDescent="0.25">
      <c r="A70" s="23">
        <v>56</v>
      </c>
      <c r="B70" s="24" t="s">
        <v>82</v>
      </c>
      <c r="C70" s="4">
        <v>100</v>
      </c>
      <c r="D70" s="4">
        <v>105</v>
      </c>
      <c r="E70" s="4">
        <v>105</v>
      </c>
      <c r="F70" s="4">
        <v>55</v>
      </c>
      <c r="G70" s="5">
        <v>365</v>
      </c>
      <c r="H70" s="6">
        <v>0</v>
      </c>
      <c r="I70" s="6">
        <v>0</v>
      </c>
      <c r="J70" s="6">
        <v>0</v>
      </c>
      <c r="K70" s="6">
        <v>0</v>
      </c>
      <c r="L70" s="8">
        <v>58967.313889999998</v>
      </c>
      <c r="M70" s="8">
        <v>19538.963889999999</v>
      </c>
      <c r="N70" s="8">
        <f>13142783.3333333/1000</f>
        <v>13142.7833333333</v>
      </c>
      <c r="O70" s="8">
        <f t="shared" si="0"/>
        <v>48.666864502319129</v>
      </c>
      <c r="P70" s="4">
        <f t="shared" si="1"/>
        <v>0</v>
      </c>
      <c r="Q70" s="45">
        <v>82.128009999999989</v>
      </c>
      <c r="R70" s="45">
        <v>149.01921999999999</v>
      </c>
      <c r="S70" s="7">
        <f t="shared" si="2"/>
        <v>81.447498849661656</v>
      </c>
      <c r="T70" s="5">
        <v>0</v>
      </c>
      <c r="U70" s="5">
        <v>0</v>
      </c>
      <c r="V70" s="5">
        <v>5</v>
      </c>
      <c r="W70" s="5">
        <v>20</v>
      </c>
      <c r="X70" s="5">
        <v>5</v>
      </c>
      <c r="Y70" s="5">
        <v>10</v>
      </c>
      <c r="Z70" s="5">
        <f t="shared" si="13"/>
        <v>91.25</v>
      </c>
      <c r="AA70" s="9">
        <f t="shared" si="3"/>
        <v>1.29</v>
      </c>
      <c r="AB70" s="38" t="s">
        <v>108</v>
      </c>
    </row>
    <row r="71" spans="1:28" ht="25.5" customHeight="1" x14ac:dyDescent="0.25">
      <c r="A71" s="23">
        <v>57</v>
      </c>
      <c r="B71" s="24" t="s">
        <v>83</v>
      </c>
      <c r="C71" s="4">
        <v>90</v>
      </c>
      <c r="D71" s="4">
        <v>100</v>
      </c>
      <c r="E71" s="4">
        <v>105</v>
      </c>
      <c r="F71" s="4">
        <v>65</v>
      </c>
      <c r="G71" s="5">
        <v>360</v>
      </c>
      <c r="H71" s="6">
        <v>0</v>
      </c>
      <c r="I71" s="6">
        <v>0</v>
      </c>
      <c r="J71" s="6">
        <v>0</v>
      </c>
      <c r="K71" s="6">
        <v>0</v>
      </c>
      <c r="L71" s="8">
        <v>16834.431760000003</v>
      </c>
      <c r="M71" s="8">
        <v>4970.9599900000021</v>
      </c>
      <c r="N71" s="8">
        <f>3954490.59/1000</f>
        <v>3954.4905899999999</v>
      </c>
      <c r="O71" s="8">
        <f t="shared" si="0"/>
        <v>25.704180522528496</v>
      </c>
      <c r="P71" s="4">
        <f t="shared" si="1"/>
        <v>0</v>
      </c>
      <c r="Q71" s="45">
        <v>447.28454999999997</v>
      </c>
      <c r="R71" s="45">
        <v>269.49673999999999</v>
      </c>
      <c r="S71" s="7">
        <f t="shared" si="2"/>
        <v>-39.74825645106678</v>
      </c>
      <c r="T71" s="5">
        <v>5</v>
      </c>
      <c r="U71" s="5">
        <v>0</v>
      </c>
      <c r="V71" s="5">
        <v>5</v>
      </c>
      <c r="W71" s="5">
        <v>10</v>
      </c>
      <c r="X71" s="5">
        <v>5</v>
      </c>
      <c r="Y71" s="5">
        <v>10</v>
      </c>
      <c r="Z71" s="5">
        <f t="shared" si="13"/>
        <v>105</v>
      </c>
      <c r="AA71" s="9">
        <f t="shared" si="3"/>
        <v>1.48</v>
      </c>
      <c r="AB71" s="38" t="s">
        <v>106</v>
      </c>
    </row>
    <row r="72" spans="1:28" ht="25.5" customHeight="1" x14ac:dyDescent="0.25">
      <c r="A72" s="23">
        <v>58</v>
      </c>
      <c r="B72" s="24" t="s">
        <v>84</v>
      </c>
      <c r="C72" s="4">
        <v>100</v>
      </c>
      <c r="D72" s="4">
        <v>105</v>
      </c>
      <c r="E72" s="4">
        <v>105</v>
      </c>
      <c r="F72" s="4">
        <v>65</v>
      </c>
      <c r="G72" s="5">
        <v>375</v>
      </c>
      <c r="H72" s="6">
        <v>0</v>
      </c>
      <c r="I72" s="6">
        <v>0</v>
      </c>
      <c r="J72" s="6">
        <v>0</v>
      </c>
      <c r="K72" s="6">
        <v>0</v>
      </c>
      <c r="L72" s="8">
        <v>15328.03289</v>
      </c>
      <c r="M72" s="8">
        <v>5224.7578900000008</v>
      </c>
      <c r="N72" s="8">
        <f>3367758.33333333/1000</f>
        <v>3367.75833333333</v>
      </c>
      <c r="O72" s="8">
        <f t="shared" si="0"/>
        <v>55.140522949241884</v>
      </c>
      <c r="P72" s="4">
        <f t="shared" si="1"/>
        <v>0</v>
      </c>
      <c r="Q72" s="45">
        <v>4.95031</v>
      </c>
      <c r="R72" s="45">
        <v>1.1709100000000001</v>
      </c>
      <c r="S72" s="7">
        <f t="shared" si="2"/>
        <v>-76.346733840910971</v>
      </c>
      <c r="T72" s="5">
        <v>5</v>
      </c>
      <c r="U72" s="5">
        <v>0</v>
      </c>
      <c r="V72" s="5">
        <v>5</v>
      </c>
      <c r="W72" s="5">
        <v>0</v>
      </c>
      <c r="X72" s="5">
        <v>5</v>
      </c>
      <c r="Y72" s="5">
        <v>10</v>
      </c>
      <c r="Z72" s="5">
        <f t="shared" si="6"/>
        <v>118.75</v>
      </c>
      <c r="AA72" s="9">
        <f t="shared" si="3"/>
        <v>1.67</v>
      </c>
      <c r="AB72" s="38" t="s">
        <v>106</v>
      </c>
    </row>
    <row r="73" spans="1:28" ht="25.5" customHeight="1" x14ac:dyDescent="0.25">
      <c r="A73" s="23">
        <v>59</v>
      </c>
      <c r="B73" s="24" t="s">
        <v>85</v>
      </c>
      <c r="C73" s="4">
        <v>100</v>
      </c>
      <c r="D73" s="4">
        <v>100</v>
      </c>
      <c r="E73" s="4">
        <v>105</v>
      </c>
      <c r="F73" s="4">
        <v>55</v>
      </c>
      <c r="G73" s="5">
        <v>360</v>
      </c>
      <c r="H73" s="6">
        <v>0</v>
      </c>
      <c r="I73" s="6">
        <v>0</v>
      </c>
      <c r="J73" s="6">
        <v>0</v>
      </c>
      <c r="K73" s="6">
        <v>0</v>
      </c>
      <c r="L73" s="8">
        <v>25311.938549999999</v>
      </c>
      <c r="M73" s="8">
        <v>7560.0188100000023</v>
      </c>
      <c r="N73" s="8">
        <f>5917306.58/1000</f>
        <v>5917.3065800000004</v>
      </c>
      <c r="O73" s="8">
        <f t="shared" si="0"/>
        <v>27.76114787684369</v>
      </c>
      <c r="P73" s="4">
        <f t="shared" si="1"/>
        <v>0</v>
      </c>
      <c r="Q73" s="45">
        <v>304.80293</v>
      </c>
      <c r="R73" s="45">
        <v>126.8061</v>
      </c>
      <c r="S73" s="7">
        <f t="shared" si="2"/>
        <v>-58.397348739396953</v>
      </c>
      <c r="T73" s="5">
        <v>5</v>
      </c>
      <c r="U73" s="5">
        <v>0</v>
      </c>
      <c r="V73" s="5">
        <v>5</v>
      </c>
      <c r="W73" s="5">
        <v>10</v>
      </c>
      <c r="X73" s="5">
        <v>5</v>
      </c>
      <c r="Y73" s="5">
        <v>10</v>
      </c>
      <c r="Z73" s="5">
        <f t="shared" ref="Z73:Z74" si="14">G73/4-(H73+I73+J73+K73)+P73+T73+U73+V73-W73+X73+Y73</f>
        <v>105</v>
      </c>
      <c r="AA73" s="9">
        <f t="shared" si="3"/>
        <v>1.48</v>
      </c>
      <c r="AB73" s="38" t="s">
        <v>106</v>
      </c>
    </row>
    <row r="74" spans="1:28" ht="25.5" customHeight="1" x14ac:dyDescent="0.25">
      <c r="A74" s="23">
        <v>60</v>
      </c>
      <c r="B74" s="24" t="s">
        <v>86</v>
      </c>
      <c r="C74" s="4">
        <v>90</v>
      </c>
      <c r="D74" s="4">
        <v>105</v>
      </c>
      <c r="E74" s="4">
        <v>105</v>
      </c>
      <c r="F74" s="4">
        <v>65</v>
      </c>
      <c r="G74" s="5">
        <v>365</v>
      </c>
      <c r="H74" s="6">
        <v>0</v>
      </c>
      <c r="I74" s="6">
        <v>0</v>
      </c>
      <c r="J74" s="6">
        <v>0</v>
      </c>
      <c r="K74" s="6">
        <v>0</v>
      </c>
      <c r="L74" s="8">
        <v>20744.065920000001</v>
      </c>
      <c r="M74" s="8">
        <v>6329.990920000002</v>
      </c>
      <c r="N74" s="8">
        <f>4804691.66666667/1000</f>
        <v>4804.6916666666693</v>
      </c>
      <c r="O74" s="8">
        <f t="shared" si="0"/>
        <v>31.746038229993914</v>
      </c>
      <c r="P74" s="4">
        <f t="shared" si="1"/>
        <v>0</v>
      </c>
      <c r="Q74" s="45">
        <v>17.236630000000002</v>
      </c>
      <c r="R74" s="45">
        <v>11.87392</v>
      </c>
      <c r="S74" s="7">
        <f t="shared" si="2"/>
        <v>-31.112288190905076</v>
      </c>
      <c r="T74" s="5">
        <v>5</v>
      </c>
      <c r="U74" s="5">
        <v>0</v>
      </c>
      <c r="V74" s="5">
        <v>5</v>
      </c>
      <c r="W74" s="5">
        <v>10</v>
      </c>
      <c r="X74" s="5">
        <v>5</v>
      </c>
      <c r="Y74" s="5">
        <v>10</v>
      </c>
      <c r="Z74" s="5">
        <f t="shared" si="14"/>
        <v>106.25</v>
      </c>
      <c r="AA74" s="9">
        <f t="shared" si="3"/>
        <v>1.5</v>
      </c>
      <c r="AB74" s="38" t="s">
        <v>106</v>
      </c>
    </row>
    <row r="75" spans="1:28" ht="25.5" customHeight="1" x14ac:dyDescent="0.25">
      <c r="A75" s="23">
        <v>61</v>
      </c>
      <c r="B75" s="27" t="s">
        <v>87</v>
      </c>
      <c r="C75" s="4">
        <v>100</v>
      </c>
      <c r="D75" s="4">
        <v>105</v>
      </c>
      <c r="E75" s="4">
        <v>105</v>
      </c>
      <c r="F75" s="4">
        <v>65</v>
      </c>
      <c r="G75" s="5">
        <v>375</v>
      </c>
      <c r="H75" s="6">
        <v>0</v>
      </c>
      <c r="I75" s="6">
        <v>0</v>
      </c>
      <c r="J75" s="6">
        <v>10</v>
      </c>
      <c r="K75" s="6">
        <v>0</v>
      </c>
      <c r="L75" s="8">
        <v>20777.866109999999</v>
      </c>
      <c r="M75" s="8">
        <v>5427.7818599999991</v>
      </c>
      <c r="N75" s="8">
        <f>5116694.75/1000</f>
        <v>5116.6947499999997</v>
      </c>
      <c r="O75" s="8">
        <f t="shared" si="0"/>
        <v>6.0798450015021812</v>
      </c>
      <c r="P75" s="4">
        <f t="shared" si="1"/>
        <v>10</v>
      </c>
      <c r="Q75" s="45">
        <v>88.010170000000002</v>
      </c>
      <c r="R75" s="45">
        <v>83.172509999999988</v>
      </c>
      <c r="S75" s="7">
        <f t="shared" si="2"/>
        <v>-5.4967056648112527</v>
      </c>
      <c r="T75" s="5">
        <v>5</v>
      </c>
      <c r="U75" s="5">
        <v>0</v>
      </c>
      <c r="V75" s="5">
        <v>5</v>
      </c>
      <c r="W75" s="5">
        <v>0</v>
      </c>
      <c r="X75" s="5">
        <v>5</v>
      </c>
      <c r="Y75" s="5">
        <v>10</v>
      </c>
      <c r="Z75" s="5">
        <f t="shared" si="6"/>
        <v>118.75</v>
      </c>
      <c r="AA75" s="9">
        <f t="shared" si="3"/>
        <v>1.67</v>
      </c>
      <c r="AB75" s="38" t="s">
        <v>106</v>
      </c>
    </row>
    <row r="76" spans="1:28" ht="50.25" customHeight="1" x14ac:dyDescent="0.25">
      <c r="A76" s="23">
        <v>62</v>
      </c>
      <c r="B76" s="24" t="s">
        <v>88</v>
      </c>
      <c r="C76" s="4">
        <v>100</v>
      </c>
      <c r="D76" s="4">
        <v>105</v>
      </c>
      <c r="E76" s="4">
        <v>95</v>
      </c>
      <c r="F76" s="4">
        <v>55</v>
      </c>
      <c r="G76" s="5">
        <v>355</v>
      </c>
      <c r="H76" s="6">
        <v>0</v>
      </c>
      <c r="I76" s="6">
        <v>0</v>
      </c>
      <c r="J76" s="6">
        <v>20</v>
      </c>
      <c r="K76" s="6">
        <v>0</v>
      </c>
      <c r="L76" s="8">
        <v>68809.924230000004</v>
      </c>
      <c r="M76" s="8">
        <v>23435.949230000006</v>
      </c>
      <c r="N76" s="8">
        <f>15124658.3333333/1000</f>
        <v>15124.6583333333</v>
      </c>
      <c r="O76" s="8">
        <f t="shared" si="0"/>
        <v>54.951924952575062</v>
      </c>
      <c r="P76" s="4">
        <f t="shared" si="1"/>
        <v>0</v>
      </c>
      <c r="Q76" s="45">
        <v>681.15033999999991</v>
      </c>
      <c r="R76" s="45">
        <v>741.83785999999998</v>
      </c>
      <c r="S76" s="7">
        <f t="shared" si="2"/>
        <v>8.9095631956962791</v>
      </c>
      <c r="T76" s="5">
        <v>0</v>
      </c>
      <c r="U76" s="5">
        <v>0</v>
      </c>
      <c r="V76" s="5">
        <v>5</v>
      </c>
      <c r="W76" s="5">
        <v>0</v>
      </c>
      <c r="X76" s="5">
        <v>5</v>
      </c>
      <c r="Y76" s="5">
        <v>10</v>
      </c>
      <c r="Z76" s="5">
        <f t="shared" si="6"/>
        <v>88.75</v>
      </c>
      <c r="AA76" s="9">
        <f t="shared" si="3"/>
        <v>1.25</v>
      </c>
      <c r="AB76" s="38" t="s">
        <v>108</v>
      </c>
    </row>
    <row r="77" spans="1:28" ht="25.5" customHeight="1" x14ac:dyDescent="0.25">
      <c r="A77" s="23">
        <v>63</v>
      </c>
      <c r="B77" s="24" t="s">
        <v>89</v>
      </c>
      <c r="C77" s="4">
        <v>75</v>
      </c>
      <c r="D77" s="4">
        <v>100</v>
      </c>
      <c r="E77" s="4">
        <v>80</v>
      </c>
      <c r="F77" s="4">
        <v>65</v>
      </c>
      <c r="G77" s="5">
        <v>320</v>
      </c>
      <c r="H77" s="6">
        <v>0</v>
      </c>
      <c r="I77" s="6">
        <v>0</v>
      </c>
      <c r="J77" s="6">
        <v>0</v>
      </c>
      <c r="K77" s="6">
        <v>0</v>
      </c>
      <c r="L77" s="8">
        <v>20840.167510000003</v>
      </c>
      <c r="M77" s="8">
        <v>6636.7411600000023</v>
      </c>
      <c r="N77" s="8">
        <f>4734475.45/1000</f>
        <v>4734.4754499999999</v>
      </c>
      <c r="O77" s="8">
        <f t="shared" si="0"/>
        <v>40.179017297470672</v>
      </c>
      <c r="P77" s="4">
        <f t="shared" si="1"/>
        <v>0</v>
      </c>
      <c r="Q77" s="45">
        <v>114.10496999999999</v>
      </c>
      <c r="R77" s="45">
        <v>130.666</v>
      </c>
      <c r="S77" s="7">
        <f t="shared" si="2"/>
        <v>14.513855093253172</v>
      </c>
      <c r="T77" s="5">
        <v>0</v>
      </c>
      <c r="U77" s="5">
        <v>0</v>
      </c>
      <c r="V77" s="5">
        <v>5</v>
      </c>
      <c r="W77" s="5">
        <v>20</v>
      </c>
      <c r="X77" s="5">
        <v>5</v>
      </c>
      <c r="Y77" s="5">
        <v>10</v>
      </c>
      <c r="Z77" s="5">
        <f t="shared" ref="Z77:Z82" si="15">G77/4-(H77+I77+J77+K77)+P77+T77+U77+V77-W77+X77+Y77</f>
        <v>80</v>
      </c>
      <c r="AA77" s="9">
        <f t="shared" si="3"/>
        <v>1.1299999999999999</v>
      </c>
      <c r="AB77" s="38" t="s">
        <v>107</v>
      </c>
    </row>
    <row r="78" spans="1:28" ht="25.5" customHeight="1" x14ac:dyDescent="0.25">
      <c r="A78" s="23">
        <v>64</v>
      </c>
      <c r="B78" s="24" t="s">
        <v>90</v>
      </c>
      <c r="C78" s="4">
        <v>85</v>
      </c>
      <c r="D78" s="4">
        <v>65</v>
      </c>
      <c r="E78" s="4">
        <v>85</v>
      </c>
      <c r="F78" s="4">
        <v>65</v>
      </c>
      <c r="G78" s="5">
        <v>300</v>
      </c>
      <c r="H78" s="6">
        <v>0</v>
      </c>
      <c r="I78" s="6">
        <v>0</v>
      </c>
      <c r="J78" s="6">
        <v>0</v>
      </c>
      <c r="K78" s="6">
        <v>0</v>
      </c>
      <c r="L78" s="8">
        <v>14655.75995</v>
      </c>
      <c r="M78" s="8">
        <v>4918.1599499999993</v>
      </c>
      <c r="N78" s="8">
        <f>3245866.66666667/1000</f>
        <v>3245.86666666667</v>
      </c>
      <c r="O78" s="8">
        <f t="shared" si="0"/>
        <v>51.52070171294757</v>
      </c>
      <c r="P78" s="4">
        <f t="shared" si="1"/>
        <v>0</v>
      </c>
      <c r="Q78" s="45">
        <v>109.56214999999999</v>
      </c>
      <c r="R78" s="45">
        <v>173.37413000000001</v>
      </c>
      <c r="S78" s="7">
        <f t="shared" si="2"/>
        <v>58.242723422276789</v>
      </c>
      <c r="T78" s="5">
        <v>0</v>
      </c>
      <c r="U78" s="5">
        <v>0</v>
      </c>
      <c r="V78" s="5">
        <v>5</v>
      </c>
      <c r="W78" s="5">
        <v>20</v>
      </c>
      <c r="X78" s="5">
        <v>5</v>
      </c>
      <c r="Y78" s="5">
        <v>10</v>
      </c>
      <c r="Z78" s="5">
        <f t="shared" si="15"/>
        <v>75</v>
      </c>
      <c r="AA78" s="9">
        <f t="shared" si="3"/>
        <v>1.06</v>
      </c>
      <c r="AB78" s="38" t="s">
        <v>107</v>
      </c>
    </row>
    <row r="79" spans="1:28" ht="25.5" customHeight="1" x14ac:dyDescent="0.25">
      <c r="A79" s="23">
        <v>65</v>
      </c>
      <c r="B79" s="24" t="s">
        <v>91</v>
      </c>
      <c r="C79" s="4">
        <v>100</v>
      </c>
      <c r="D79" s="4">
        <v>105</v>
      </c>
      <c r="E79" s="4">
        <v>105</v>
      </c>
      <c r="F79" s="4">
        <v>65</v>
      </c>
      <c r="G79" s="5">
        <v>375</v>
      </c>
      <c r="H79" s="6">
        <v>0</v>
      </c>
      <c r="I79" s="6">
        <v>0</v>
      </c>
      <c r="J79" s="6">
        <v>0</v>
      </c>
      <c r="K79" s="6">
        <v>0</v>
      </c>
      <c r="L79" s="8">
        <v>87781.051909999995</v>
      </c>
      <c r="M79" s="8">
        <v>24788.651909999997</v>
      </c>
      <c r="N79" s="8">
        <f>20997466.6666667/1000</f>
        <v>20997.4666666667</v>
      </c>
      <c r="O79" s="8">
        <f t="shared" si="0"/>
        <v>18.055441180205666</v>
      </c>
      <c r="P79" s="4">
        <f t="shared" si="1"/>
        <v>10</v>
      </c>
      <c r="Q79" s="45">
        <v>524.75487999999996</v>
      </c>
      <c r="R79" s="45">
        <v>529.24815000000001</v>
      </c>
      <c r="S79" s="7">
        <f t="shared" si="2"/>
        <v>0.85626073644137479</v>
      </c>
      <c r="T79" s="5">
        <v>5</v>
      </c>
      <c r="U79" s="5">
        <v>0</v>
      </c>
      <c r="V79" s="5">
        <v>5</v>
      </c>
      <c r="W79" s="5">
        <v>20</v>
      </c>
      <c r="X79" s="5">
        <v>5</v>
      </c>
      <c r="Y79" s="5">
        <v>10</v>
      </c>
      <c r="Z79" s="5">
        <f t="shared" si="15"/>
        <v>108.75</v>
      </c>
      <c r="AA79" s="9">
        <f t="shared" si="3"/>
        <v>1.53</v>
      </c>
      <c r="AB79" s="38" t="s">
        <v>106</v>
      </c>
    </row>
    <row r="80" spans="1:28" ht="25.5" customHeight="1" x14ac:dyDescent="0.25">
      <c r="A80" s="23">
        <v>66</v>
      </c>
      <c r="B80" s="24" t="s">
        <v>92</v>
      </c>
      <c r="C80" s="4">
        <v>100</v>
      </c>
      <c r="D80" s="4">
        <v>105</v>
      </c>
      <c r="E80" s="4">
        <v>85</v>
      </c>
      <c r="F80" s="4">
        <v>55</v>
      </c>
      <c r="G80" s="5">
        <v>345</v>
      </c>
      <c r="H80" s="6">
        <v>0</v>
      </c>
      <c r="I80" s="6">
        <v>0</v>
      </c>
      <c r="J80" s="6">
        <v>20</v>
      </c>
      <c r="K80" s="6">
        <v>0</v>
      </c>
      <c r="L80" s="8">
        <v>196131.40347999998</v>
      </c>
      <c r="M80" s="8">
        <v>66671.553479999988</v>
      </c>
      <c r="N80" s="8">
        <f>43153283.3333333/1000</f>
        <v>43153.283333333296</v>
      </c>
      <c r="O80" s="8">
        <f t="shared" ref="O80:O85" si="16">(M80-N80)*100/N80</f>
        <v>54.499376015034876</v>
      </c>
      <c r="P80" s="4">
        <f t="shared" ref="P80:P85" si="17">IF(O80&lt;=25,10,0)</f>
        <v>0</v>
      </c>
      <c r="Q80" s="45">
        <v>2920.4034300000003</v>
      </c>
      <c r="R80" s="45">
        <v>2792.2598700000003</v>
      </c>
      <c r="S80" s="7">
        <f t="shared" ref="S80:S85" si="18">100*(R80-Q80)/Q80</f>
        <v>-4.3878718496094891</v>
      </c>
      <c r="T80" s="5">
        <v>5</v>
      </c>
      <c r="U80" s="5">
        <v>0</v>
      </c>
      <c r="V80" s="5">
        <v>5</v>
      </c>
      <c r="W80" s="5">
        <v>10</v>
      </c>
      <c r="X80" s="5">
        <v>5</v>
      </c>
      <c r="Y80" s="5">
        <v>10</v>
      </c>
      <c r="Z80" s="5">
        <f t="shared" si="15"/>
        <v>81.25</v>
      </c>
      <c r="AA80" s="9">
        <f t="shared" ref="AA80:AA85" si="19">ROUND(Z80/71,2)</f>
        <v>1.1399999999999999</v>
      </c>
      <c r="AB80" s="38" t="s">
        <v>107</v>
      </c>
    </row>
    <row r="81" spans="1:28" ht="25.5" customHeight="1" x14ac:dyDescent="0.25">
      <c r="A81" s="23">
        <v>67</v>
      </c>
      <c r="B81" s="24" t="s">
        <v>93</v>
      </c>
      <c r="C81" s="4">
        <v>100</v>
      </c>
      <c r="D81" s="4">
        <v>90</v>
      </c>
      <c r="E81" s="4">
        <v>90</v>
      </c>
      <c r="F81" s="4">
        <v>65</v>
      </c>
      <c r="G81" s="5">
        <v>345</v>
      </c>
      <c r="H81" s="6">
        <v>0</v>
      </c>
      <c r="I81" s="6">
        <v>0</v>
      </c>
      <c r="J81" s="6">
        <v>0</v>
      </c>
      <c r="K81" s="6">
        <v>0</v>
      </c>
      <c r="L81" s="8">
        <v>46798.577880000004</v>
      </c>
      <c r="M81" s="8">
        <v>16229.749950000003</v>
      </c>
      <c r="N81" s="8">
        <f>10189609.31/1000</f>
        <v>10189.60931</v>
      </c>
      <c r="O81" s="8">
        <f t="shared" si="16"/>
        <v>59.27745074653901</v>
      </c>
      <c r="P81" s="4">
        <f t="shared" si="17"/>
        <v>0</v>
      </c>
      <c r="Q81" s="45">
        <v>1402.92769</v>
      </c>
      <c r="R81" s="45">
        <v>1600.3792900000001</v>
      </c>
      <c r="S81" s="7">
        <f t="shared" si="18"/>
        <v>14.074253534763443</v>
      </c>
      <c r="T81" s="5">
        <v>0</v>
      </c>
      <c r="U81" s="5">
        <v>0</v>
      </c>
      <c r="V81" s="5">
        <v>5</v>
      </c>
      <c r="W81" s="5">
        <v>20</v>
      </c>
      <c r="X81" s="5">
        <v>5</v>
      </c>
      <c r="Y81" s="5">
        <v>10</v>
      </c>
      <c r="Z81" s="5">
        <f t="shared" si="15"/>
        <v>86.25</v>
      </c>
      <c r="AA81" s="9">
        <f t="shared" si="19"/>
        <v>1.21</v>
      </c>
      <c r="AB81" s="38" t="s">
        <v>108</v>
      </c>
    </row>
    <row r="82" spans="1:28" ht="25.5" customHeight="1" x14ac:dyDescent="0.25">
      <c r="A82" s="23">
        <v>68</v>
      </c>
      <c r="B82" s="24" t="s">
        <v>94</v>
      </c>
      <c r="C82" s="4">
        <v>85</v>
      </c>
      <c r="D82" s="4">
        <v>90</v>
      </c>
      <c r="E82" s="4">
        <v>85</v>
      </c>
      <c r="F82" s="4">
        <v>50</v>
      </c>
      <c r="G82" s="5">
        <v>310</v>
      </c>
      <c r="H82" s="6">
        <v>0</v>
      </c>
      <c r="I82" s="6">
        <v>0</v>
      </c>
      <c r="J82" s="6">
        <v>0</v>
      </c>
      <c r="K82" s="6">
        <v>0</v>
      </c>
      <c r="L82" s="8">
        <v>12964.589109999999</v>
      </c>
      <c r="M82" s="8">
        <v>4836.6151099999997</v>
      </c>
      <c r="N82" s="8">
        <f>2709324.66666667/1000</f>
        <v>2709.3246666666696</v>
      </c>
      <c r="O82" s="8">
        <f t="shared" si="16"/>
        <v>78.517368903984973</v>
      </c>
      <c r="P82" s="4">
        <f t="shared" si="17"/>
        <v>0</v>
      </c>
      <c r="Q82" s="45">
        <v>91.836820000000003</v>
      </c>
      <c r="R82" s="45">
        <v>225.03104000000002</v>
      </c>
      <c r="S82" s="7">
        <f t="shared" si="18"/>
        <v>145.03357150214916</v>
      </c>
      <c r="T82" s="5">
        <v>0</v>
      </c>
      <c r="U82" s="5">
        <v>0</v>
      </c>
      <c r="V82" s="5">
        <v>5</v>
      </c>
      <c r="W82" s="5">
        <v>20</v>
      </c>
      <c r="X82" s="5">
        <v>5</v>
      </c>
      <c r="Y82" s="5">
        <v>10</v>
      </c>
      <c r="Z82" s="5">
        <f t="shared" si="15"/>
        <v>77.5</v>
      </c>
      <c r="AA82" s="9">
        <f t="shared" si="19"/>
        <v>1.0900000000000001</v>
      </c>
      <c r="AB82" s="38" t="s">
        <v>107</v>
      </c>
    </row>
    <row r="83" spans="1:28" ht="25.5" customHeight="1" x14ac:dyDescent="0.25">
      <c r="A83" s="23">
        <v>69</v>
      </c>
      <c r="B83" s="24" t="s">
        <v>95</v>
      </c>
      <c r="C83" s="4">
        <v>100</v>
      </c>
      <c r="D83" s="4">
        <v>90</v>
      </c>
      <c r="E83" s="4">
        <v>105</v>
      </c>
      <c r="F83" s="4">
        <v>65</v>
      </c>
      <c r="G83" s="5">
        <v>360</v>
      </c>
      <c r="H83" s="6">
        <v>0</v>
      </c>
      <c r="I83" s="6">
        <v>0</v>
      </c>
      <c r="J83" s="6">
        <v>0</v>
      </c>
      <c r="K83" s="6">
        <v>0</v>
      </c>
      <c r="L83" s="8">
        <v>16891.679550000001</v>
      </c>
      <c r="M83" s="8">
        <v>5220.4045500000011</v>
      </c>
      <c r="N83" s="8">
        <f>3890425/1000</f>
        <v>3890.4250000000002</v>
      </c>
      <c r="O83" s="8">
        <f t="shared" si="16"/>
        <v>34.185970684436818</v>
      </c>
      <c r="P83" s="4">
        <f t="shared" si="17"/>
        <v>0</v>
      </c>
      <c r="Q83" s="45">
        <v>201.52204</v>
      </c>
      <c r="R83" s="45">
        <v>426.69263000000001</v>
      </c>
      <c r="S83" s="7">
        <f t="shared" si="18"/>
        <v>111.73496953484592</v>
      </c>
      <c r="T83" s="5">
        <v>0</v>
      </c>
      <c r="U83" s="5">
        <v>0</v>
      </c>
      <c r="V83" s="5">
        <v>5</v>
      </c>
      <c r="W83" s="5">
        <v>0</v>
      </c>
      <c r="X83" s="5">
        <v>5</v>
      </c>
      <c r="Y83" s="5">
        <v>10</v>
      </c>
      <c r="Z83" s="5">
        <f t="shared" ref="Z83" si="20">G83/4-(H83+I83+J83+K83)+P83+T83-U83+V83-W83+X83+Y83</f>
        <v>110</v>
      </c>
      <c r="AA83" s="9">
        <f t="shared" si="19"/>
        <v>1.55</v>
      </c>
      <c r="AB83" s="38" t="s">
        <v>106</v>
      </c>
    </row>
    <row r="84" spans="1:28" ht="25.5" customHeight="1" x14ac:dyDescent="0.25">
      <c r="A84" s="23">
        <v>70</v>
      </c>
      <c r="B84" s="24" t="s">
        <v>96</v>
      </c>
      <c r="C84" s="4">
        <v>90</v>
      </c>
      <c r="D84" s="4">
        <v>75</v>
      </c>
      <c r="E84" s="4">
        <v>95</v>
      </c>
      <c r="F84" s="4">
        <v>55</v>
      </c>
      <c r="G84" s="5">
        <v>315</v>
      </c>
      <c r="H84" s="6">
        <v>0</v>
      </c>
      <c r="I84" s="6">
        <v>0</v>
      </c>
      <c r="J84" s="6">
        <v>10</v>
      </c>
      <c r="K84" s="6">
        <v>0</v>
      </c>
      <c r="L84" s="8">
        <v>75129.086869999999</v>
      </c>
      <c r="M84" s="8">
        <v>20535.901720000005</v>
      </c>
      <c r="N84" s="8">
        <f>18197728.3833333/1000</f>
        <v>18197.728383333299</v>
      </c>
      <c r="O84" s="8">
        <f t="shared" si="16"/>
        <v>12.848709945622458</v>
      </c>
      <c r="P84" s="4">
        <f t="shared" si="17"/>
        <v>10</v>
      </c>
      <c r="Q84" s="45">
        <v>1642.4540500000001</v>
      </c>
      <c r="R84" s="45">
        <v>2009.97136</v>
      </c>
      <c r="S84" s="7">
        <f t="shared" si="18"/>
        <v>22.376109091149303</v>
      </c>
      <c r="T84" s="5">
        <v>0</v>
      </c>
      <c r="U84" s="5">
        <v>0</v>
      </c>
      <c r="V84" s="5">
        <v>5</v>
      </c>
      <c r="W84" s="5">
        <v>20</v>
      </c>
      <c r="X84" s="5">
        <v>5</v>
      </c>
      <c r="Y84" s="5">
        <v>10</v>
      </c>
      <c r="Z84" s="5">
        <f t="shared" ref="Z84:Z85" si="21">G84/4-(H84+I84+J84+K84)+P84+T84+U84+V84-W84+X84+Y84</f>
        <v>78.75</v>
      </c>
      <c r="AA84" s="9">
        <f t="shared" si="19"/>
        <v>1.1100000000000001</v>
      </c>
      <c r="AB84" s="38" t="s">
        <v>107</v>
      </c>
    </row>
    <row r="85" spans="1:28" ht="25.5" customHeight="1" x14ac:dyDescent="0.25">
      <c r="A85" s="23">
        <v>71</v>
      </c>
      <c r="B85" s="24" t="s">
        <v>97</v>
      </c>
      <c r="C85" s="4">
        <v>90</v>
      </c>
      <c r="D85" s="4">
        <v>90</v>
      </c>
      <c r="E85" s="4">
        <v>85</v>
      </c>
      <c r="F85" s="4">
        <v>60</v>
      </c>
      <c r="G85" s="5">
        <v>325</v>
      </c>
      <c r="H85" s="6">
        <v>0</v>
      </c>
      <c r="I85" s="6">
        <v>0</v>
      </c>
      <c r="J85" s="6">
        <v>0</v>
      </c>
      <c r="K85" s="6">
        <v>0</v>
      </c>
      <c r="L85" s="8">
        <v>19572.51669</v>
      </c>
      <c r="M85" s="8">
        <v>6848.4416900000015</v>
      </c>
      <c r="N85" s="8">
        <f>4241358.33333333/1000</f>
        <v>4241.3583333333299</v>
      </c>
      <c r="O85" s="8">
        <f t="shared" si="16"/>
        <v>61.468122987329302</v>
      </c>
      <c r="P85" s="4">
        <f t="shared" si="17"/>
        <v>0</v>
      </c>
      <c r="Q85" s="45">
        <v>509.91033000000004</v>
      </c>
      <c r="R85" s="45">
        <v>509.08807000000002</v>
      </c>
      <c r="S85" s="7">
        <f t="shared" si="18"/>
        <v>-0.16125580354491512</v>
      </c>
      <c r="T85" s="5">
        <v>5</v>
      </c>
      <c r="U85" s="5">
        <v>-10</v>
      </c>
      <c r="V85" s="5">
        <v>5</v>
      </c>
      <c r="W85" s="5">
        <v>10</v>
      </c>
      <c r="X85" s="5">
        <v>5</v>
      </c>
      <c r="Y85" s="5">
        <v>10</v>
      </c>
      <c r="Z85" s="5">
        <f t="shared" si="21"/>
        <v>86.25</v>
      </c>
      <c r="AA85" s="9">
        <f t="shared" si="19"/>
        <v>1.21</v>
      </c>
      <c r="AB85" s="38" t="s">
        <v>108</v>
      </c>
    </row>
    <row r="86" spans="1:28" ht="13.9" x14ac:dyDescent="0.25">
      <c r="A86" s="10"/>
      <c r="B86" s="11"/>
      <c r="C86" s="12"/>
      <c r="D86" s="13"/>
      <c r="E86" s="13"/>
      <c r="F86" s="13"/>
      <c r="G86" s="14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6"/>
      <c r="S86" s="16"/>
      <c r="T86" s="16"/>
      <c r="U86" s="16"/>
      <c r="V86" s="16"/>
      <c r="W86" s="16"/>
      <c r="X86" s="16"/>
      <c r="Y86" s="16"/>
      <c r="Z86" s="17"/>
      <c r="AA86" s="18"/>
    </row>
    <row r="87" spans="1:28" ht="22.5" customHeight="1" x14ac:dyDescent="0.3">
      <c r="A87" s="10"/>
      <c r="B87" s="272" t="s">
        <v>312</v>
      </c>
      <c r="C87" s="254"/>
      <c r="D87" s="254"/>
      <c r="E87" s="254"/>
      <c r="F87" s="254"/>
      <c r="G87" s="272"/>
      <c r="H87" s="272"/>
      <c r="I87" s="272"/>
      <c r="J87" s="272"/>
      <c r="K87" s="44"/>
      <c r="L87" s="44"/>
      <c r="M87" s="44"/>
      <c r="N87" s="44"/>
      <c r="O87" s="44" t="s">
        <v>109</v>
      </c>
      <c r="P87" s="15"/>
      <c r="Q87" s="15"/>
      <c r="R87" s="16"/>
      <c r="S87" s="16"/>
      <c r="T87" s="16"/>
      <c r="U87" s="16"/>
      <c r="V87" s="16"/>
      <c r="W87" s="16"/>
      <c r="X87" s="16"/>
      <c r="Y87" s="16"/>
      <c r="Z87" s="17"/>
      <c r="AA87" s="18"/>
    </row>
    <row r="88" spans="1:28" ht="13.9" x14ac:dyDescent="0.25">
      <c r="B88" s="11"/>
      <c r="C88" s="18"/>
      <c r="D88" s="16"/>
      <c r="E88" s="16"/>
      <c r="F88" s="16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Z88" s="18"/>
      <c r="AA88" s="16"/>
    </row>
    <row r="89" spans="1:28" ht="13.9" x14ac:dyDescent="0.25">
      <c r="B89" s="11"/>
      <c r="C89" s="18"/>
      <c r="D89" s="16"/>
      <c r="E89" s="16"/>
      <c r="F89" s="16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AA89" s="16"/>
    </row>
    <row r="90" spans="1:28" ht="3" customHeight="1" x14ac:dyDescent="0.25">
      <c r="Y90" s="1">
        <v>10</v>
      </c>
    </row>
    <row r="91" spans="1:28" hidden="1" x14ac:dyDescent="0.25"/>
  </sheetData>
  <autoFilter ref="A14:AB85"/>
  <mergeCells count="37">
    <mergeCell ref="AA11:AA13"/>
    <mergeCell ref="AB11:AB13"/>
    <mergeCell ref="B87:J87"/>
    <mergeCell ref="U11:U13"/>
    <mergeCell ref="V11:V13"/>
    <mergeCell ref="W11:W13"/>
    <mergeCell ref="X11:X13"/>
    <mergeCell ref="Y11:Y13"/>
    <mergeCell ref="Z11:Z13"/>
    <mergeCell ref="O11:O13"/>
    <mergeCell ref="P11:P13"/>
    <mergeCell ref="Q11:Q13"/>
    <mergeCell ref="R11:R13"/>
    <mergeCell ref="S11:S13"/>
    <mergeCell ref="T11:T13"/>
    <mergeCell ref="I11:I13"/>
    <mergeCell ref="AI8:AK8"/>
    <mergeCell ref="AD10:AE13"/>
    <mergeCell ref="AI10:AJ13"/>
    <mergeCell ref="A11:A13"/>
    <mergeCell ref="B11:B13"/>
    <mergeCell ref="C11:C13"/>
    <mergeCell ref="D11:D13"/>
    <mergeCell ref="E11:E13"/>
    <mergeCell ref="F11:F13"/>
    <mergeCell ref="G11:G13"/>
    <mergeCell ref="H11:H13"/>
    <mergeCell ref="J11:J13"/>
    <mergeCell ref="K11:K13"/>
    <mergeCell ref="L11:L13"/>
    <mergeCell ref="M11:M13"/>
    <mergeCell ref="N11:N13"/>
    <mergeCell ref="A9:AB9"/>
    <mergeCell ref="Y1:Z1"/>
    <mergeCell ref="A3:H6"/>
    <mergeCell ref="A8:AB8"/>
    <mergeCell ref="AD8:AF8"/>
  </mergeCells>
  <pageMargins left="0.19685039370078741" right="0.11811023622047245" top="0.15748031496062992" bottom="0.15748031496062992" header="0.31496062992125984" footer="0.31496062992125984"/>
  <pageSetup paperSize="9" scale="35" firstPageNumber="5" fitToWidth="0" orientation="landscape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2017 год </vt:lpstr>
      <vt:lpstr>2018 год</vt:lpstr>
      <vt:lpstr>2019 год</vt:lpstr>
      <vt:lpstr>2020 год </vt:lpstr>
      <vt:lpstr>'2020 год '!Заголовки_для_печати</vt:lpstr>
      <vt:lpstr>'2020 год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Коурова Евгения Александровна</dc:creator>
  <cp:lastModifiedBy>user</cp:lastModifiedBy>
  <cp:lastPrinted>2021-04-06T14:04:09Z</cp:lastPrinted>
  <dcterms:created xsi:type="dcterms:W3CDTF">2014-03-04T05:14:25Z</dcterms:created>
  <dcterms:modified xsi:type="dcterms:W3CDTF">2021-04-12T09:42:44Z</dcterms:modified>
</cp:coreProperties>
</file>